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120" windowWidth="23256" windowHeight="13176" firstSheet="9" activeTab="14"/>
  </bookViews>
  <sheets>
    <sheet name="2016" sheetId="1" r:id="rId1"/>
    <sheet name="2017" sheetId="5" r:id="rId2"/>
    <sheet name="2018" sheetId="6" r:id="rId3"/>
    <sheet name="2019" sheetId="9" r:id="rId4"/>
    <sheet name="Remplacemenet SSI" sheetId="14" r:id="rId5"/>
    <sheet name="Audit centrale incendie" sheetId="12" r:id="rId6"/>
    <sheet name="Becquets terrasse" sheetId="4" r:id="rId7"/>
    <sheet name="Blocs de secours" sheetId="2" r:id="rId8"/>
    <sheet name="Coffret &amp; sonde pompes" sheetId="7" r:id="rId9"/>
    <sheet name="Etancheïté terrasse" sheetId="10" r:id="rId10"/>
    <sheet name="Nettoyage grilles" sheetId="3" r:id="rId11"/>
    <sheet name="Pompe relevage" sheetId="11" r:id="rId12"/>
    <sheet name="Motorisation hydro" sheetId="8" r:id="rId13"/>
    <sheet name="Système sécurité incendie" sheetId="13" r:id="rId14"/>
    <sheet name="Factures remplacement SSI" sheetId="15" r:id="rId15"/>
  </sheets>
  <definedNames>
    <definedName name="_xlnm._FilterDatabase" localSheetId="14" hidden="1">'Factures remplacement SSI'!$A$5:$I$5</definedName>
  </definedNames>
  <calcPr calcId="125725"/>
  <pivotCaches>
    <pivotCache cacheId="0" r:id="rId16"/>
  </pivotCaches>
  <fileRecoveryPr repairLoad="1"/>
</workbook>
</file>

<file path=xl/calcChain.xml><?xml version="1.0" encoding="utf-8"?>
<calcChain xmlns="http://schemas.openxmlformats.org/spreadsheetml/2006/main">
  <c r="B37" i="15"/>
  <c r="F24"/>
  <c r="F33"/>
  <c r="E28"/>
  <c r="I28"/>
  <c r="D37"/>
  <c r="C37"/>
  <c r="F26"/>
  <c r="F25"/>
  <c r="F21"/>
  <c r="F23"/>
  <c r="F20"/>
  <c r="F19"/>
  <c r="F10"/>
  <c r="F9"/>
  <c r="F6"/>
  <c r="F18"/>
  <c r="F17"/>
  <c r="F15"/>
  <c r="F16"/>
  <c r="F14"/>
  <c r="F13"/>
  <c r="F12"/>
  <c r="F8"/>
  <c r="F7"/>
  <c r="F11"/>
  <c r="L19" i="11" l="1"/>
  <c r="O26" i="14"/>
  <c r="R25"/>
  <c r="R26" s="1"/>
  <c r="R28" s="1"/>
  <c r="R24"/>
  <c r="R23"/>
  <c r="F6" l="1"/>
  <c r="G6" s="1"/>
  <c r="F4"/>
  <c r="G4" s="1"/>
  <c r="I4" s="1"/>
  <c r="C17"/>
  <c r="E17" s="1"/>
  <c r="C16"/>
  <c r="E16" s="1"/>
  <c r="C15"/>
  <c r="E15" s="1"/>
  <c r="C9"/>
  <c r="E9" s="1"/>
  <c r="F9" s="1"/>
  <c r="C8"/>
  <c r="E8" s="1"/>
  <c r="F8" s="1"/>
  <c r="C7"/>
  <c r="E7" s="1"/>
  <c r="F7" s="1"/>
  <c r="I9"/>
  <c r="C5"/>
  <c r="E5" s="1"/>
  <c r="F5" s="1"/>
  <c r="I17"/>
  <c r="F14"/>
  <c r="G14" s="1"/>
  <c r="C13"/>
  <c r="E13" s="1"/>
  <c r="F12"/>
  <c r="G12" s="1"/>
  <c r="I12" s="1"/>
  <c r="I18" s="1"/>
  <c r="R30"/>
  <c r="K13" i="12"/>
  <c r="K15" s="1"/>
  <c r="K9"/>
  <c r="H15"/>
  <c r="K11"/>
  <c r="L35"/>
  <c r="K35"/>
  <c r="J35"/>
  <c r="G35"/>
  <c r="F35"/>
  <c r="D35"/>
  <c r="L27"/>
  <c r="L37" s="1"/>
  <c r="K27"/>
  <c r="K37" s="1"/>
  <c r="J27"/>
  <c r="J37" s="1"/>
  <c r="G27"/>
  <c r="F27"/>
  <c r="D27"/>
  <c r="D37" s="1"/>
  <c r="K13" i="2"/>
  <c r="K12"/>
  <c r="H12"/>
  <c r="K10"/>
  <c r="K8"/>
  <c r="H8"/>
  <c r="H13"/>
  <c r="J19"/>
  <c r="D20"/>
  <c r="J20" s="1"/>
  <c r="F19"/>
  <c r="G19" s="1"/>
  <c r="L19" s="1"/>
  <c r="F24" i="4"/>
  <c r="K24" s="1"/>
  <c r="L22" i="3"/>
  <c r="L21"/>
  <c r="K22"/>
  <c r="K21"/>
  <c r="J24"/>
  <c r="J22"/>
  <c r="J21"/>
  <c r="G22"/>
  <c r="G21"/>
  <c r="F24"/>
  <c r="D24"/>
  <c r="D22"/>
  <c r="F22" s="1"/>
  <c r="F21"/>
  <c r="H14"/>
  <c r="K12"/>
  <c r="K14" s="1"/>
  <c r="H12"/>
  <c r="K8"/>
  <c r="H8"/>
  <c r="F23" i="10"/>
  <c r="G23" s="1"/>
  <c r="J24"/>
  <c r="J26" s="1"/>
  <c r="F24"/>
  <c r="K24" s="1"/>
  <c r="D24"/>
  <c r="D26" s="1"/>
  <c r="J23"/>
  <c r="D27" i="4"/>
  <c r="D25"/>
  <c r="F25" s="1"/>
  <c r="K25" s="1"/>
  <c r="J24"/>
  <c r="I32" i="5"/>
  <c r="D21" i="7"/>
  <c r="J20"/>
  <c r="F20"/>
  <c r="G20" s="1"/>
  <c r="F13" i="14" l="1"/>
  <c r="G13" s="1"/>
  <c r="I10"/>
  <c r="O10" s="1"/>
  <c r="G9"/>
  <c r="F17"/>
  <c r="G17" s="1"/>
  <c r="F16"/>
  <c r="G16" s="1"/>
  <c r="F15"/>
  <c r="G15" s="1"/>
  <c r="G7"/>
  <c r="G8"/>
  <c r="G5"/>
  <c r="G37" i="12"/>
  <c r="K19" i="2"/>
  <c r="D22"/>
  <c r="F20"/>
  <c r="G20" s="1"/>
  <c r="G22" s="1"/>
  <c r="J22"/>
  <c r="G24" i="4"/>
  <c r="L24" s="1"/>
  <c r="L24" i="3"/>
  <c r="K24"/>
  <c r="G24"/>
  <c r="L23" i="10"/>
  <c r="L26" s="1"/>
  <c r="G26"/>
  <c r="F26"/>
  <c r="G24"/>
  <c r="L24" s="1"/>
  <c r="K23"/>
  <c r="K26" s="1"/>
  <c r="K27" i="4"/>
  <c r="F27"/>
  <c r="J25"/>
  <c r="J27" s="1"/>
  <c r="G25"/>
  <c r="L25" s="1"/>
  <c r="L20" i="7"/>
  <c r="F21"/>
  <c r="K21" s="1"/>
  <c r="D23"/>
  <c r="J21"/>
  <c r="J23" s="1"/>
  <c r="K20"/>
  <c r="D25" i="8"/>
  <c r="J23"/>
  <c r="G23"/>
  <c r="L23" s="1"/>
  <c r="F23"/>
  <c r="K23" s="1"/>
  <c r="D23"/>
  <c r="J22"/>
  <c r="J25" s="1"/>
  <c r="F22"/>
  <c r="G22" s="1"/>
  <c r="L14" i="11"/>
  <c r="H14" i="8"/>
  <c r="L12" i="11"/>
  <c r="L8"/>
  <c r="I8"/>
  <c r="I11" s="1"/>
  <c r="H7"/>
  <c r="I15" i="8"/>
  <c r="I12"/>
  <c r="H12"/>
  <c r="H11"/>
  <c r="I11"/>
  <c r="I8"/>
  <c r="L15"/>
  <c r="L12"/>
  <c r="L8"/>
  <c r="H8"/>
  <c r="C52" i="13"/>
  <c r="D52"/>
  <c r="E52"/>
  <c r="E51"/>
  <c r="E50"/>
  <c r="D51"/>
  <c r="D50"/>
  <c r="C51"/>
  <c r="C50"/>
  <c r="C49"/>
  <c r="E49"/>
  <c r="D49"/>
  <c r="L9"/>
  <c r="L8"/>
  <c r="L7"/>
  <c r="F73"/>
  <c r="C72"/>
  <c r="D72" s="1"/>
  <c r="C71"/>
  <c r="D71" s="1"/>
  <c r="E71" s="1"/>
  <c r="E70"/>
  <c r="G70" s="1"/>
  <c r="D70"/>
  <c r="C70"/>
  <c r="D69"/>
  <c r="E69" s="1"/>
  <c r="G69" s="1"/>
  <c r="E68"/>
  <c r="G68" s="1"/>
  <c r="D68"/>
  <c r="C68"/>
  <c r="H67"/>
  <c r="E67"/>
  <c r="G67" s="1"/>
  <c r="D67"/>
  <c r="H61"/>
  <c r="B47"/>
  <c r="D41"/>
  <c r="D43" s="1"/>
  <c r="C41"/>
  <c r="C43" s="1"/>
  <c r="F36"/>
  <c r="E42" s="1"/>
  <c r="C42" s="1"/>
  <c r="D42" s="1"/>
  <c r="C35"/>
  <c r="D35" s="1"/>
  <c r="E35" s="1"/>
  <c r="E34"/>
  <c r="G34" s="1"/>
  <c r="D34"/>
  <c r="C34"/>
  <c r="C33"/>
  <c r="D33" s="1"/>
  <c r="D32"/>
  <c r="E32" s="1"/>
  <c r="C31"/>
  <c r="D31" s="1"/>
  <c r="D30"/>
  <c r="E30" s="1"/>
  <c r="I10"/>
  <c r="H10"/>
  <c r="H9"/>
  <c r="H8"/>
  <c r="H7"/>
  <c r="J26" i="5"/>
  <c r="I26"/>
  <c r="F26"/>
  <c r="K14"/>
  <c r="K12" i="10"/>
  <c r="H12"/>
  <c r="H8"/>
  <c r="H14" i="4"/>
  <c r="H12"/>
  <c r="H8"/>
  <c r="K8" i="10"/>
  <c r="K14" s="1"/>
  <c r="K14" i="4"/>
  <c r="K12"/>
  <c r="K8"/>
  <c r="I26" i="9"/>
  <c r="F26"/>
  <c r="I20"/>
  <c r="I28" s="1"/>
  <c r="F20"/>
  <c r="F28" s="1"/>
  <c r="I20" i="6"/>
  <c r="F20"/>
  <c r="I20" i="5"/>
  <c r="F20"/>
  <c r="K26" i="1"/>
  <c r="J26"/>
  <c r="K26" i="5"/>
  <c r="I26" i="6"/>
  <c r="F26"/>
  <c r="F26" i="1"/>
  <c r="F20"/>
  <c r="I26"/>
  <c r="I20"/>
  <c r="K20" i="2" l="1"/>
  <c r="K22" s="1"/>
  <c r="F22"/>
  <c r="L20"/>
  <c r="L22" s="1"/>
  <c r="L27" i="4"/>
  <c r="H14" i="10"/>
  <c r="G27" i="4"/>
  <c r="G21" i="7"/>
  <c r="L21" s="1"/>
  <c r="L23" s="1"/>
  <c r="K23"/>
  <c r="F23"/>
  <c r="L22" i="8"/>
  <c r="L25" s="1"/>
  <c r="G25"/>
  <c r="F25"/>
  <c r="K22"/>
  <c r="K25" s="1"/>
  <c r="I12" i="11"/>
  <c r="I14"/>
  <c r="L10" i="13"/>
  <c r="H32"/>
  <c r="G32"/>
  <c r="H71"/>
  <c r="G71"/>
  <c r="C46"/>
  <c r="C45"/>
  <c r="C44"/>
  <c r="H30"/>
  <c r="E41"/>
  <c r="E43" s="1"/>
  <c r="G30"/>
  <c r="G35"/>
  <c r="H35"/>
  <c r="D45"/>
  <c r="D46"/>
  <c r="D44"/>
  <c r="D47" s="1"/>
  <c r="E73"/>
  <c r="E33"/>
  <c r="E31"/>
  <c r="H34"/>
  <c r="H68"/>
  <c r="H70"/>
  <c r="E72"/>
  <c r="F28" i="1"/>
  <c r="I28"/>
  <c r="I28" i="6"/>
  <c r="F28"/>
  <c r="F28" i="5"/>
  <c r="I28"/>
  <c r="G23" i="7" l="1"/>
  <c r="G73" i="13"/>
  <c r="H73"/>
  <c r="E36"/>
  <c r="G31"/>
  <c r="H31"/>
  <c r="C59"/>
  <c r="C60"/>
  <c r="C58"/>
  <c r="G72"/>
  <c r="H72"/>
  <c r="G33"/>
  <c r="H33"/>
  <c r="D59"/>
  <c r="D60"/>
  <c r="D58"/>
  <c r="E45"/>
  <c r="E46"/>
  <c r="E44"/>
  <c r="E47" s="1"/>
  <c r="C47"/>
  <c r="D61" l="1"/>
  <c r="E58"/>
  <c r="E61" s="1"/>
  <c r="E59"/>
  <c r="E60"/>
  <c r="G36"/>
  <c r="H36"/>
  <c r="C61"/>
</calcChain>
</file>

<file path=xl/comments1.xml><?xml version="1.0" encoding="utf-8"?>
<comments xmlns="http://schemas.openxmlformats.org/spreadsheetml/2006/main">
  <authors>
    <author>Thibault THOMAS</author>
  </authors>
  <commentList>
    <comment ref="I29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dû par Gerloge </t>
        </r>
      </text>
    </comment>
  </commentList>
</comments>
</file>

<file path=xl/comments2.xml><?xml version="1.0" encoding="utf-8"?>
<comments xmlns="http://schemas.openxmlformats.org/spreadsheetml/2006/main">
  <authors>
    <author>Thibault THOMAS</author>
  </authors>
  <commentList>
    <comment ref="K14" authorId="0">
      <text>
        <r>
          <rPr>
            <b/>
            <sz val="9"/>
            <color indexed="81"/>
            <rFont val="Tahoma"/>
            <family val="2"/>
          </rPr>
          <t xml:space="preserve">Thibault THOMAS :
</t>
        </r>
        <r>
          <rPr>
            <sz val="9"/>
            <color indexed="81"/>
            <rFont val="Tahoma"/>
            <family val="2"/>
          </rPr>
          <t xml:space="preserve">
Montant dû par SCI Michel THOMAS</t>
        </r>
      </text>
    </comment>
  </commentList>
</comments>
</file>

<file path=xl/comments3.xml><?xml version="1.0" encoding="utf-8"?>
<comments xmlns="http://schemas.openxmlformats.org/spreadsheetml/2006/main">
  <authors>
    <author>Thibault THOMAS</author>
  </authors>
  <commentList>
    <comment ref="K14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dû par GERLOGE
</t>
        </r>
      </text>
    </comment>
  </commentList>
</comments>
</file>

<file path=xl/comments4.xml><?xml version="1.0" encoding="utf-8"?>
<comments xmlns="http://schemas.openxmlformats.org/spreadsheetml/2006/main">
  <authors>
    <author>Thibault THOMAS</author>
  </authors>
  <commentList>
    <comment ref="B50" authorId="0">
      <text>
        <r>
          <rPr>
            <b/>
            <sz val="9"/>
            <color indexed="81"/>
            <rFont val="Tahoma"/>
            <charset val="1"/>
          </rPr>
          <t xml:space="preserve">SCI Michel THOMAS :
cf Statuts ASL page 27 &amp; 28
</t>
        </r>
      </text>
    </comment>
  </commentList>
</comments>
</file>

<file path=xl/sharedStrings.xml><?xml version="1.0" encoding="utf-8"?>
<sst xmlns="http://schemas.openxmlformats.org/spreadsheetml/2006/main" count="882" uniqueCount="215">
  <si>
    <t>date courrier GERLOGE</t>
  </si>
  <si>
    <t>période</t>
  </si>
  <si>
    <t>budget période</t>
  </si>
  <si>
    <t>généraux</t>
  </si>
  <si>
    <t>individuels</t>
  </si>
  <si>
    <t>quote-part SCI</t>
  </si>
  <si>
    <t>Tantièmes</t>
  </si>
  <si>
    <t>01/07/2016 à 01/07/2016</t>
  </si>
  <si>
    <t>remplacement blocs de secours</t>
  </si>
  <si>
    <t>Travaux</t>
  </si>
  <si>
    <t>charges grille B</t>
  </si>
  <si>
    <t>nettoyage sous grilles</t>
  </si>
  <si>
    <t>provisions n° 01</t>
  </si>
  <si>
    <t>01/07/2016 - 01/07/2016</t>
  </si>
  <si>
    <t>charges communes générales</t>
  </si>
  <si>
    <t>appel n° 1</t>
  </si>
  <si>
    <t>01/09/2016 - 01/09/2016</t>
  </si>
  <si>
    <t>charges de copropriété</t>
  </si>
  <si>
    <t>01/01/2016 - 31/12/2016</t>
  </si>
  <si>
    <t>dont TVA</t>
  </si>
  <si>
    <t>déduction appel provisions</t>
  </si>
  <si>
    <t>charges copropriété</t>
  </si>
  <si>
    <t>dépenses générales</t>
  </si>
  <si>
    <t>dont locatif</t>
  </si>
  <si>
    <t>dépenses grille A</t>
  </si>
  <si>
    <t>dépenses grille B</t>
  </si>
  <si>
    <t>Charges courantes</t>
  </si>
  <si>
    <t>01/01/2016 - 31/03/2016</t>
  </si>
  <si>
    <t>Compte-rendu gestion</t>
  </si>
  <si>
    <t>appel charges n° 02</t>
  </si>
  <si>
    <t>01/04/2016 - 30/06/2016</t>
  </si>
  <si>
    <t>appel charges n° 04</t>
  </si>
  <si>
    <t>01/10/2016 - 31/12/2016</t>
  </si>
  <si>
    <t>appel charges n° 03</t>
  </si>
  <si>
    <t>01/07/2016 - 30/09/2016</t>
  </si>
  <si>
    <t xml:space="preserve">total </t>
  </si>
  <si>
    <t>appel charges 2016</t>
  </si>
  <si>
    <t>solde</t>
  </si>
  <si>
    <t>charges courantes 2016</t>
  </si>
  <si>
    <t>01/10/2017 - 31/12/2017</t>
  </si>
  <si>
    <t>provisions n° 04</t>
  </si>
  <si>
    <t>imputation</t>
  </si>
  <si>
    <t>provision n° 01</t>
  </si>
  <si>
    <t>30/07/2017 - 30/07/2017</t>
  </si>
  <si>
    <t>provisions n° 03</t>
  </si>
  <si>
    <t>provision n° 03</t>
  </si>
  <si>
    <t>01/07/2017 - 01/07/2017</t>
  </si>
  <si>
    <t>Pompes relevage</t>
  </si>
  <si>
    <t>Coffet de commande &amp; sonde de pression</t>
  </si>
  <si>
    <t>travaux TTc</t>
  </si>
  <si>
    <t>01/01/2017 - 31/03/2017</t>
  </si>
  <si>
    <t>provisions n° 02</t>
  </si>
  <si>
    <t>01/04/2017 - 30/06/2017</t>
  </si>
  <si>
    <t>compta GERLOGE</t>
  </si>
  <si>
    <t>01/07/2017 - 30/09/2017</t>
  </si>
  <si>
    <t>appel charges 2017</t>
  </si>
  <si>
    <t>01/07/2018 - 30/09/2018</t>
  </si>
  <si>
    <t>01/10/2018 - 31/12/2018</t>
  </si>
  <si>
    <t>01/04/2018 - 30/06/2018</t>
  </si>
  <si>
    <t>01/01/2018 - 31/12/2018</t>
  </si>
  <si>
    <t xml:space="preserve">01/01/2017 - 31/12/2017 </t>
  </si>
  <si>
    <t>charges courantes 2017</t>
  </si>
  <si>
    <t>charges courantes 2018</t>
  </si>
  <si>
    <t>01/01/2019 - 31/03/2019</t>
  </si>
  <si>
    <t>01/04/2019 - 30/06/2019</t>
  </si>
  <si>
    <t>01/07/2019 - 30/09/2019</t>
  </si>
  <si>
    <t>01/10/2019 - 31/12/2019</t>
  </si>
  <si>
    <t xml:space="preserve">DUBERNARD </t>
  </si>
  <si>
    <t xml:space="preserve">Honoraires suivi </t>
  </si>
  <si>
    <t>PV AGO du 03/07/2017  (€ TTC)</t>
  </si>
  <si>
    <t>reprise becquets terrasse</t>
  </si>
  <si>
    <t>SIEREC</t>
  </si>
  <si>
    <t>étanchéïté terrasse</t>
  </si>
  <si>
    <t>SPN</t>
  </si>
  <si>
    <t>charges 2016</t>
  </si>
  <si>
    <t>crédité par GERLOGE</t>
  </si>
  <si>
    <t>débité par GERLOGE</t>
  </si>
  <si>
    <t>appel charges 2019</t>
  </si>
  <si>
    <t>appel charges 2018</t>
  </si>
  <si>
    <t>charges 2017</t>
  </si>
  <si>
    <t>remplacement pompe relevage</t>
  </si>
  <si>
    <t>Pompe relevage</t>
  </si>
  <si>
    <t>SESEM</t>
  </si>
  <si>
    <t>PV AGO du 04/07/2018  (€ TTC)</t>
  </si>
  <si>
    <t>356454,89 pv 04/07/2018</t>
  </si>
  <si>
    <t>OTIS</t>
  </si>
  <si>
    <t>motorisation hydraulique NYN08</t>
  </si>
  <si>
    <t>Audit centrale sécurité incendie</t>
  </si>
  <si>
    <t>E.T.C.</t>
  </si>
  <si>
    <t>système sécurité incendie</t>
  </si>
  <si>
    <t>01/01/2019 - 01/01/2019</t>
  </si>
  <si>
    <t>budget appelé</t>
  </si>
  <si>
    <t>Budget selon PV</t>
  </si>
  <si>
    <t>Budget / Trvx</t>
  </si>
  <si>
    <t>DEVIS</t>
  </si>
  <si>
    <t>Taux</t>
  </si>
  <si>
    <t>HT</t>
  </si>
  <si>
    <t xml:space="preserve">TVA </t>
  </si>
  <si>
    <t>TTC</t>
  </si>
  <si>
    <t>Ecart</t>
  </si>
  <si>
    <t>%</t>
  </si>
  <si>
    <t xml:space="preserve">Imprévu </t>
  </si>
  <si>
    <t>Diagnostic amiante</t>
  </si>
  <si>
    <t>E.T.C. maître ouvrage</t>
  </si>
  <si>
    <t>Bureau contrôle</t>
  </si>
  <si>
    <t>Président ASL</t>
  </si>
  <si>
    <t>PV AGO du 04/07/2018</t>
  </si>
  <si>
    <t>Autres montants</t>
  </si>
  <si>
    <t>Budget voté</t>
  </si>
  <si>
    <t>SCI Michel THOMAS</t>
  </si>
  <si>
    <t>3/80</t>
  </si>
  <si>
    <t>RIVP</t>
  </si>
  <si>
    <t>France Habitation</t>
  </si>
  <si>
    <t>Théorique SCI Michel THOMAS</t>
  </si>
  <si>
    <t>Provisions Gerloge</t>
  </si>
  <si>
    <t xml:space="preserve"> date appel</t>
  </si>
  <si>
    <t>APPELS de FONDS</t>
  </si>
  <si>
    <t>SCI Michel THOMAS total</t>
  </si>
  <si>
    <t>O.S.</t>
  </si>
  <si>
    <t>01/02/2019 - 01/02/2019</t>
  </si>
  <si>
    <r>
      <t>02/01/2019 : 1</t>
    </r>
    <r>
      <rPr>
        <vertAlign val="superscript"/>
        <sz val="9"/>
        <color theme="1"/>
        <rFont val="Calibri"/>
        <family val="2"/>
        <scheme val="minor"/>
      </rPr>
      <t>er</t>
    </r>
    <r>
      <rPr>
        <sz val="9"/>
        <color theme="1"/>
        <rFont val="Calibri"/>
        <family val="2"/>
        <scheme val="minor"/>
      </rPr>
      <t xml:space="preserve"> appel de fonds</t>
    </r>
  </si>
  <si>
    <r>
      <t>02/02/2019 : 2</t>
    </r>
    <r>
      <rPr>
        <vertAlign val="superscript"/>
        <sz val="9"/>
        <color theme="1"/>
        <rFont val="Calibri"/>
        <family val="2"/>
        <scheme val="minor"/>
      </rPr>
      <t>ème</t>
    </r>
    <r>
      <rPr>
        <sz val="9"/>
        <color theme="1"/>
        <rFont val="Calibri"/>
        <family val="2"/>
        <scheme val="minor"/>
      </rPr>
      <t xml:space="preserve"> appel de fonds</t>
    </r>
  </si>
  <si>
    <r>
      <t>02/03/2019 : 3</t>
    </r>
    <r>
      <rPr>
        <vertAlign val="superscript"/>
        <sz val="9"/>
        <color theme="1"/>
        <rFont val="Calibri"/>
        <family val="2"/>
        <scheme val="minor"/>
      </rPr>
      <t>ème</t>
    </r>
    <r>
      <rPr>
        <sz val="9"/>
        <color theme="1"/>
        <rFont val="Calibri"/>
        <family val="2"/>
        <scheme val="minor"/>
      </rPr>
      <t xml:space="preserve"> appel de fonds</t>
    </r>
  </si>
  <si>
    <t>27/80</t>
  </si>
  <si>
    <t>50/80</t>
  </si>
  <si>
    <t>01/01/2017 - 31/12/2017</t>
  </si>
  <si>
    <t>charges grille A</t>
  </si>
  <si>
    <t>Entreprise ?</t>
  </si>
  <si>
    <t>diff budget période - appelé</t>
  </si>
  <si>
    <t>Quote-part SCI</t>
  </si>
  <si>
    <t>Remplacement Motorisation Hydraulique</t>
  </si>
  <si>
    <t>TVA</t>
  </si>
  <si>
    <t>devis n° 45TFUMMH</t>
  </si>
  <si>
    <t>GERLOGE</t>
  </si>
  <si>
    <t>Honoraires suivi : 5% sur HT</t>
  </si>
  <si>
    <t>total</t>
  </si>
  <si>
    <t>devis n° 16 111 451</t>
  </si>
  <si>
    <t>SESEM (AGO 03/07/2017)</t>
  </si>
  <si>
    <t>SIEREC (AGO 03/07/2017)</t>
  </si>
  <si>
    <t>facture n° 13316</t>
  </si>
  <si>
    <t>facture n° 161000073</t>
  </si>
  <si>
    <t>facture n° 13315</t>
  </si>
  <si>
    <t>DUBERNARD</t>
  </si>
  <si>
    <t>relevé général des dépenses</t>
  </si>
  <si>
    <t>facture n° F1702796</t>
  </si>
  <si>
    <t>ETC (27/11/2017)</t>
  </si>
  <si>
    <t>ETC (26/12/2017)</t>
  </si>
  <si>
    <t>facture n° E6032</t>
  </si>
  <si>
    <t>Etude remplacement  centrale SI</t>
  </si>
  <si>
    <t>facture n° E5998</t>
  </si>
  <si>
    <t>ETC (28/03/2018)</t>
  </si>
  <si>
    <t>facture n° E6122</t>
  </si>
  <si>
    <t>ETC (30/04/2018)</t>
  </si>
  <si>
    <t>facture n° E6155</t>
  </si>
  <si>
    <t>ETC (31/05/2018)</t>
  </si>
  <si>
    <t>facture n° E6199</t>
  </si>
  <si>
    <t>audit + étude</t>
  </si>
  <si>
    <t>Etude remplacement  centrale SI (CCTP)</t>
  </si>
  <si>
    <t>Cahier des Clauses Techniques Particulières (CCTP)</t>
  </si>
  <si>
    <t>Audit centrale sécurité incendie + étude remplacement centrale SI (CCTP)</t>
  </si>
  <si>
    <t>Remplacement SSI</t>
  </si>
  <si>
    <t>MNA.Elec</t>
  </si>
  <si>
    <t>Budget imprévu</t>
  </si>
  <si>
    <t>TVA : 20%</t>
  </si>
  <si>
    <t>budget</t>
  </si>
  <si>
    <t>préconisations ETC : 3.000 €  HT</t>
  </si>
  <si>
    <t>Diagnostic amiante avant travaux</t>
  </si>
  <si>
    <t>AUDIT DE1806050771</t>
  </si>
  <si>
    <t>Maître d'ouvrage</t>
  </si>
  <si>
    <t>ETC</t>
  </si>
  <si>
    <t>Bureau de contrôle réception travaux</t>
  </si>
  <si>
    <t>Président ASL suivi administratif</t>
  </si>
  <si>
    <t>Gerloge</t>
  </si>
  <si>
    <t>SAVPR</t>
  </si>
  <si>
    <t>15/09/2018 - 15/09/2018</t>
  </si>
  <si>
    <t>Audit D.T.I. Rive Droite</t>
  </si>
  <si>
    <t>CAR180605743</t>
  </si>
  <si>
    <t>E5998</t>
  </si>
  <si>
    <t>E6032</t>
  </si>
  <si>
    <t>E6122</t>
  </si>
  <si>
    <t>OSTW 17760</t>
  </si>
  <si>
    <t>E6155</t>
  </si>
  <si>
    <t>E6199</t>
  </si>
  <si>
    <t>E6346</t>
  </si>
  <si>
    <t>18.06.05 E - BE115</t>
  </si>
  <si>
    <t>E6599</t>
  </si>
  <si>
    <t>E6646</t>
  </si>
  <si>
    <t>19.06.17 E - BE160</t>
  </si>
  <si>
    <t>E6526</t>
  </si>
  <si>
    <t>E6680</t>
  </si>
  <si>
    <t>E6686</t>
  </si>
  <si>
    <t>E6715</t>
  </si>
  <si>
    <t>Société</t>
  </si>
  <si>
    <t>Date facture</t>
  </si>
  <si>
    <t>n° facture</t>
  </si>
  <si>
    <t>Étiquettes de lignes</t>
  </si>
  <si>
    <t>Total général</t>
  </si>
  <si>
    <t>Somme de TTC</t>
  </si>
  <si>
    <t>Valeurs</t>
  </si>
  <si>
    <t>Somme de HT</t>
  </si>
  <si>
    <t>17.09.21 E - BE100</t>
  </si>
  <si>
    <t>MNA.ELEC</t>
  </si>
  <si>
    <t>13.3217</t>
  </si>
  <si>
    <t>18.11.13-BE100</t>
  </si>
  <si>
    <t>Réf</t>
  </si>
  <si>
    <t>13.3240</t>
  </si>
  <si>
    <t>13.3282</t>
  </si>
  <si>
    <t>13.3470</t>
  </si>
  <si>
    <t>VERITAS</t>
  </si>
  <si>
    <t>contrat 7243731</t>
  </si>
  <si>
    <t>Tampon payé le</t>
  </si>
  <si>
    <t>date règlement</t>
  </si>
  <si>
    <t>Montant règlement</t>
  </si>
  <si>
    <t>18.11.13-BE100 - TVA</t>
  </si>
  <si>
    <t>(vide)</t>
  </si>
</sst>
</file>

<file path=xl/styles.xml><?xml version="1.0" encoding="utf-8"?>
<styleSheet xmlns="http://schemas.openxmlformats.org/spreadsheetml/2006/main">
  <numFmts count="4">
    <numFmt numFmtId="164" formatCode="#,##0.00_ ;[Red]\-#,##0.00\ "/>
    <numFmt numFmtId="165" formatCode="0.00_ ;[Red]\-0.00\ "/>
    <numFmt numFmtId="166" formatCode="#,##0_ ;[Red]\-#,##0\ "/>
    <numFmt numFmtId="167" formatCode="#,##0.00_ ;\-#,##0.00\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9C0006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7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0" xfId="1" applyFont="1"/>
    <xf numFmtId="14" fontId="5" fillId="0" borderId="0" xfId="0" applyNumberFormat="1" applyFont="1"/>
    <xf numFmtId="164" fontId="5" fillId="0" borderId="0" xfId="0" applyNumberFormat="1" applyFont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3" xfId="0" applyFont="1" applyBorder="1"/>
    <xf numFmtId="0" fontId="5" fillId="0" borderId="7" xfId="0" applyFont="1" applyBorder="1"/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9" fontId="5" fillId="0" borderId="12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center" vertical="center"/>
    </xf>
    <xf numFmtId="10" fontId="5" fillId="0" borderId="14" xfId="0" applyNumberFormat="1" applyFont="1" applyBorder="1" applyAlignment="1">
      <alignment horizontal="center" vertical="center"/>
    </xf>
    <xf numFmtId="9" fontId="5" fillId="0" borderId="17" xfId="0" applyNumberFormat="1" applyFont="1" applyBorder="1" applyAlignment="1">
      <alignment horizontal="center" vertical="center"/>
    </xf>
    <xf numFmtId="166" fontId="5" fillId="0" borderId="18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/>
    <xf numFmtId="166" fontId="5" fillId="0" borderId="20" xfId="0" applyNumberFormat="1" applyFont="1" applyBorder="1" applyAlignment="1">
      <alignment horizontal="center" vertical="center"/>
    </xf>
    <xf numFmtId="166" fontId="7" fillId="0" borderId="20" xfId="0" applyNumberFormat="1" applyFont="1" applyBorder="1" applyAlignment="1">
      <alignment horizontal="center" vertical="center"/>
    </xf>
    <xf numFmtId="0" fontId="5" fillId="0" borderId="9" xfId="0" applyFont="1" applyBorder="1"/>
    <xf numFmtId="166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17" xfId="0" applyFont="1" applyBorder="1"/>
    <xf numFmtId="164" fontId="5" fillId="0" borderId="13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7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9" fontId="5" fillId="0" borderId="2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Border="1"/>
    <xf numFmtId="0" fontId="5" fillId="0" borderId="5" xfId="0" applyFont="1" applyBorder="1"/>
    <xf numFmtId="0" fontId="7" fillId="0" borderId="0" xfId="0" applyFont="1" applyFill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2" xfId="0" applyNumberFormat="1" applyFont="1" applyBorder="1"/>
    <xf numFmtId="164" fontId="5" fillId="0" borderId="22" xfId="0" applyNumberFormat="1" applyFont="1" applyBorder="1"/>
    <xf numFmtId="164" fontId="6" fillId="2" borderId="22" xfId="1" applyNumberFormat="1" applyFont="1" applyBorder="1"/>
    <xf numFmtId="14" fontId="6" fillId="2" borderId="14" xfId="1" applyNumberFormat="1" applyFont="1" applyBorder="1"/>
    <xf numFmtId="9" fontId="5" fillId="0" borderId="13" xfId="0" applyNumberFormat="1" applyFont="1" applyBorder="1" applyAlignment="1">
      <alignment horizontal="center" vertical="center"/>
    </xf>
    <xf numFmtId="164" fontId="5" fillId="0" borderId="17" xfId="0" applyNumberFormat="1" applyFont="1" applyBorder="1"/>
    <xf numFmtId="164" fontId="5" fillId="0" borderId="13" xfId="0" applyNumberFormat="1" applyFont="1" applyBorder="1"/>
    <xf numFmtId="164" fontId="6" fillId="2" borderId="13" xfId="1" applyNumberFormat="1" applyFont="1" applyBorder="1"/>
    <xf numFmtId="14" fontId="6" fillId="2" borderId="18" xfId="1" applyNumberFormat="1" applyFont="1" applyBorder="1"/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4" fillId="2" borderId="0" xfId="1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Font="1"/>
    <xf numFmtId="16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/>
    <xf numFmtId="14" fontId="0" fillId="0" borderId="0" xfId="0" applyNumberFormat="1" applyAlignment="1">
      <alignment vertical="center"/>
    </xf>
    <xf numFmtId="164" fontId="0" fillId="0" borderId="0" xfId="0" applyNumberFormat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167" fontId="0" fillId="3" borderId="0" xfId="0" applyNumberFormat="1" applyFill="1"/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0" xfId="0" applyFont="1" applyAlignment="1">
      <alignment horizontal="center" vertical="center"/>
    </xf>
  </cellXfs>
  <cellStyles count="2">
    <cellStyle name="Insatisfaisant" xfId="1" builtinId="27"/>
    <cellStyle name="Normal" xfId="0" builtinId="0"/>
  </cellStyles>
  <dxfs count="1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. THOMAS" refreshedDate="44349.819807175925" createdVersion="3" refreshedVersion="3" minRefreshableVersion="3" recordCount="21">
  <cacheSource type="worksheet">
    <worksheetSource ref="A5:F26" sheet="Factures remplacement SSI"/>
  </cacheSource>
  <cacheFields count="6">
    <cacheField name="Société" numFmtId="0">
      <sharedItems count="4">
        <s v="Audit D.T.I. Rive Droite"/>
        <s v="ETC"/>
        <s v="MNA.ELEC"/>
        <s v="VERITAS"/>
      </sharedItems>
    </cacheField>
    <cacheField name="Date facture" numFmtId="14">
      <sharedItems containsSemiMixedTypes="0" containsNonDate="0" containsDate="1" containsString="0" minDate="2017-11-27T00:00:00" maxDate="2027-11-28T00:00:00" count="19">
        <d v="2018-10-25T00:00:00"/>
        <d v="2017-11-27T00:00:00"/>
        <d v="2017-12-26T00:00:00"/>
        <d v="2018-03-28T00:00:00"/>
        <d v="2018-04-30T00:00:00"/>
        <d v="2018-05-31T00:00:00"/>
        <d v="2018-10-23T00:00:00"/>
        <d v="2019-03-26T00:00:00"/>
        <d v="2019-05-23T00:00:00"/>
        <d v="2019-06-20T00:00:00"/>
        <d v="2019-07-23T00:00:00"/>
        <d v="2019-08-30T00:00:00"/>
        <d v="2019-04-30T00:00:00"/>
        <d v="2019-05-30T00:00:00"/>
        <d v="2019-07-30T00:00:00"/>
        <d v="2020-02-29T00:00:00"/>
        <d v="2019-02-07T00:00:00"/>
        <d v="2019-09-27T00:00:00"/>
        <d v="2027-11-27T00:00:00" u="1"/>
      </sharedItems>
    </cacheField>
    <cacheField name="n° facture" numFmtId="0">
      <sharedItems containsMixedTypes="1" containsNumber="1" containsInteger="1" minValue="19217975" maxValue="19330132" count="20">
        <s v="CAR180605743"/>
        <s v="E5998"/>
        <s v="E6032"/>
        <s v="E6122"/>
        <s v="E6155"/>
        <s v="E6199"/>
        <s v="E6346"/>
        <s v="E6526"/>
        <s v="E6599"/>
        <s v="E6646"/>
        <s v="E6680"/>
        <s v="E6686"/>
        <s v="E6715"/>
        <s v="13.3217"/>
        <s v="13.3240"/>
        <s v="13.3282"/>
        <s v="13.3470"/>
        <s v="12.3785"/>
        <n v="19217975"/>
        <n v="19330132"/>
      </sharedItems>
    </cacheField>
    <cacheField name="Réf" numFmtId="0">
      <sharedItems containsBlank="1" count="9">
        <m/>
        <s v="17.09.21 E - BE100"/>
        <s v="OSTW 17760"/>
        <s v="18.06.05 E - BE115"/>
        <s v="19.06.17 E - BE160"/>
        <s v="18.11.13-BE100"/>
        <s v="18.11.13-BE100 - TVA"/>
        <s v="contrat 7243731"/>
        <s v="CAR180605743" u="1"/>
      </sharedItems>
    </cacheField>
    <cacheField name="TTC" numFmtId="164">
      <sharedItems containsString="0" containsBlank="1" containsNumber="1" minValue="288" maxValue="24586.22"/>
    </cacheField>
    <cacheField name="HT" numFmtId="164">
      <sharedItems containsSemiMixedTypes="0" containsString="0" containsNumber="1" minValue="0" maxValue="20488.5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n v="2430"/>
    <n v="2025"/>
  </r>
  <r>
    <x v="1"/>
    <x v="1"/>
    <x v="1"/>
    <x v="1"/>
    <n v="1200"/>
    <n v="1000"/>
  </r>
  <r>
    <x v="1"/>
    <x v="2"/>
    <x v="2"/>
    <x v="1"/>
    <n v="1800"/>
    <n v="1500"/>
  </r>
  <r>
    <x v="1"/>
    <x v="3"/>
    <x v="3"/>
    <x v="2"/>
    <n v="1248"/>
    <n v="1040"/>
  </r>
  <r>
    <x v="1"/>
    <x v="4"/>
    <x v="4"/>
    <x v="2"/>
    <n v="1296"/>
    <n v="1080"/>
  </r>
  <r>
    <x v="1"/>
    <x v="5"/>
    <x v="5"/>
    <x v="2"/>
    <n v="576"/>
    <n v="480"/>
  </r>
  <r>
    <x v="1"/>
    <x v="6"/>
    <x v="6"/>
    <x v="3"/>
    <n v="2212.7600000000002"/>
    <n v="1843.97"/>
  </r>
  <r>
    <x v="1"/>
    <x v="7"/>
    <x v="7"/>
    <x v="3"/>
    <n v="1106.3800000000001"/>
    <n v="921.98"/>
  </r>
  <r>
    <x v="1"/>
    <x v="8"/>
    <x v="8"/>
    <x v="3"/>
    <n v="829.79"/>
    <n v="691.49"/>
  </r>
  <r>
    <x v="1"/>
    <x v="9"/>
    <x v="9"/>
    <x v="4"/>
    <n v="576"/>
    <n v="480"/>
  </r>
  <r>
    <x v="1"/>
    <x v="10"/>
    <x v="10"/>
    <x v="3"/>
    <n v="1382.98"/>
    <n v="1152.48"/>
  </r>
  <r>
    <x v="1"/>
    <x v="10"/>
    <x v="11"/>
    <x v="4"/>
    <n v="288"/>
    <n v="240"/>
  </r>
  <r>
    <x v="1"/>
    <x v="11"/>
    <x v="12"/>
    <x v="4"/>
    <n v="576"/>
    <n v="480"/>
  </r>
  <r>
    <x v="2"/>
    <x v="12"/>
    <x v="13"/>
    <x v="5"/>
    <n v="24586.22"/>
    <n v="20488.52"/>
  </r>
  <r>
    <x v="2"/>
    <x v="13"/>
    <x v="14"/>
    <x v="5"/>
    <n v="23093.15"/>
    <n v="19244.29"/>
  </r>
  <r>
    <x v="2"/>
    <x v="14"/>
    <x v="15"/>
    <x v="5"/>
    <n v="6495.45"/>
    <n v="5412.88"/>
  </r>
  <r>
    <x v="2"/>
    <x v="14"/>
    <x v="15"/>
    <x v="6"/>
    <n v="1299.0899999999999"/>
    <n v="1299.0899999999999"/>
  </r>
  <r>
    <x v="2"/>
    <x v="15"/>
    <x v="16"/>
    <x v="5"/>
    <n v="2918.37"/>
    <n v="2431.98"/>
  </r>
  <r>
    <x v="2"/>
    <x v="15"/>
    <x v="17"/>
    <x v="0"/>
    <m/>
    <n v="0"/>
  </r>
  <r>
    <x v="3"/>
    <x v="16"/>
    <x v="18"/>
    <x v="7"/>
    <n v="1152"/>
    <n v="960"/>
  </r>
  <r>
    <x v="3"/>
    <x v="17"/>
    <x v="19"/>
    <x v="7"/>
    <n v="1152"/>
    <n v="9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K5:M18" firstHeaderRow="1" firstDataRow="2" firstDataCol="1"/>
  <pivotFields count="6">
    <pivotField axis="axisRow" showAll="0">
      <items count="5">
        <item sd="0" x="0"/>
        <item sd="0" x="1"/>
        <item x="2"/>
        <item x="3"/>
        <item t="default"/>
      </items>
    </pivotField>
    <pivotField axis="axisRow" showAll="0">
      <items count="20">
        <item x="2"/>
        <item x="3"/>
        <item x="4"/>
        <item x="5"/>
        <item x="6"/>
        <item x="7"/>
        <item x="8"/>
        <item x="9"/>
        <item x="10"/>
        <item x="11"/>
        <item m="1" x="18"/>
        <item x="12"/>
        <item x="13"/>
        <item x="14"/>
        <item x="15"/>
        <item x="16"/>
        <item x="17"/>
        <item x="0"/>
        <item x="1"/>
        <item t="default"/>
      </items>
    </pivotField>
    <pivotField axis="axisRow" showAll="0">
      <items count="21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0"/>
        <item x="17"/>
        <item t="default"/>
      </items>
    </pivotField>
    <pivotField axis="axisRow" showAll="0" defaultSubtotal="0">
      <items count="9">
        <item sd="0" x="1"/>
        <item sd="0" x="3"/>
        <item sd="0" x="5"/>
        <item sd="0" x="4"/>
        <item sd="0" m="1" x="8"/>
        <item sd="0" x="2"/>
        <item sd="0" x="7"/>
        <item sd="0" x="0"/>
        <item x="6"/>
      </items>
    </pivotField>
    <pivotField dataField="1" numFmtId="164" showAll="0"/>
    <pivotField dataField="1" numFmtId="164" showAll="0" defaultSubtotal="0"/>
  </pivotFields>
  <rowFields count="4">
    <field x="3"/>
    <field x="0"/>
    <field x="1"/>
    <field x="2"/>
  </rowFields>
  <rowItems count="12">
    <i>
      <x/>
    </i>
    <i>
      <x v="1"/>
    </i>
    <i>
      <x v="2"/>
    </i>
    <i>
      <x v="3"/>
    </i>
    <i>
      <x v="5"/>
    </i>
    <i>
      <x v="6"/>
    </i>
    <i>
      <x v="7"/>
    </i>
    <i>
      <x v="8"/>
    </i>
    <i r="1">
      <x v="2"/>
    </i>
    <i r="2">
      <x v="13"/>
    </i>
    <i r="3"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TTC" fld="4" baseField="0" baseItem="0" numFmtId="167"/>
    <dataField name="Somme de HT" fld="5" baseField="0" baseItem="0" numFmtId="164"/>
  </dataFields>
  <formats count="4">
    <format dxfId="11">
      <pivotArea collapsedLevelsAreSubtotals="1" fieldPosition="0">
        <references count="2">
          <reference field="4294967294" count="1" selected="0">
            <x v="0"/>
          </reference>
          <reference field="3" count="1">
            <x v="1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3" count="1">
            <x v="6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3" count="1">
            <x v="3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3" count="1"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33"/>
  <sheetViews>
    <sheetView topLeftCell="A4" workbookViewId="0">
      <selection activeCell="A33" sqref="A33:XFD33"/>
    </sheetView>
  </sheetViews>
  <sheetFormatPr baseColWidth="10" defaultRowHeight="14.4"/>
  <cols>
    <col min="1" max="1" width="26.88671875" bestFit="1" customWidth="1"/>
    <col min="2" max="2" width="22.88671875" bestFit="1" customWidth="1"/>
    <col min="3" max="3" width="19.88671875" bestFit="1" customWidth="1"/>
    <col min="4" max="4" width="22.21875" bestFit="1" customWidth="1"/>
    <col min="5" max="5" width="25" bestFit="1" customWidth="1"/>
    <col min="6" max="6" width="13.21875" bestFit="1" customWidth="1"/>
    <col min="7" max="7" width="8.44140625" bestFit="1" customWidth="1"/>
    <col min="8" max="8" width="9.44140625" bestFit="1" customWidth="1"/>
    <col min="9" max="9" width="12.77734375" bestFit="1" customWidth="1"/>
    <col min="10" max="10" width="8.44140625" bestFit="1" customWidth="1"/>
    <col min="11" max="11" width="10.44140625" bestFit="1" customWidth="1"/>
  </cols>
  <sheetData>
    <row r="3" spans="1:11">
      <c r="G3" s="190" t="s">
        <v>6</v>
      </c>
      <c r="H3" s="190"/>
    </row>
    <row r="5" spans="1:11">
      <c r="A5" t="s">
        <v>9</v>
      </c>
      <c r="C5" t="s">
        <v>0</v>
      </c>
      <c r="D5" t="s">
        <v>1</v>
      </c>
      <c r="F5" t="s">
        <v>2</v>
      </c>
      <c r="G5" t="s">
        <v>3</v>
      </c>
      <c r="H5" t="s">
        <v>4</v>
      </c>
      <c r="I5" t="s">
        <v>5</v>
      </c>
      <c r="J5" t="s">
        <v>19</v>
      </c>
      <c r="K5" t="s">
        <v>23</v>
      </c>
    </row>
    <row r="7" spans="1:11">
      <c r="C7" s="1"/>
      <c r="F7" s="2"/>
      <c r="I7" s="2"/>
      <c r="J7" s="2"/>
      <c r="K7" s="2"/>
    </row>
    <row r="8" spans="1:11">
      <c r="A8" t="s">
        <v>26</v>
      </c>
      <c r="B8" t="s">
        <v>12</v>
      </c>
      <c r="C8" s="1">
        <v>42348</v>
      </c>
      <c r="D8" t="s">
        <v>27</v>
      </c>
      <c r="E8" t="s">
        <v>22</v>
      </c>
      <c r="F8" s="2">
        <v>6575</v>
      </c>
      <c r="G8">
        <v>100</v>
      </c>
      <c r="H8">
        <v>31</v>
      </c>
      <c r="I8" s="2">
        <v>2038.26</v>
      </c>
      <c r="J8" s="2"/>
      <c r="K8" s="2"/>
    </row>
    <row r="9" spans="1:11">
      <c r="A9" t="s">
        <v>26</v>
      </c>
      <c r="B9" t="s">
        <v>12</v>
      </c>
      <c r="C9" s="1">
        <v>42348</v>
      </c>
      <c r="D9" t="s">
        <v>27</v>
      </c>
      <c r="E9" t="s">
        <v>24</v>
      </c>
      <c r="F9" s="2">
        <v>1450</v>
      </c>
      <c r="G9">
        <v>100</v>
      </c>
      <c r="H9">
        <v>31</v>
      </c>
      <c r="I9" s="2">
        <v>449.5</v>
      </c>
      <c r="J9" s="2"/>
      <c r="K9" s="2"/>
    </row>
    <row r="10" spans="1:11">
      <c r="A10" t="s">
        <v>26</v>
      </c>
      <c r="B10" t="s">
        <v>12</v>
      </c>
      <c r="C10" s="1">
        <v>42348</v>
      </c>
      <c r="D10" t="s">
        <v>27</v>
      </c>
      <c r="E10" t="s">
        <v>25</v>
      </c>
      <c r="F10" s="2">
        <v>475</v>
      </c>
      <c r="G10">
        <v>100</v>
      </c>
      <c r="H10">
        <v>4</v>
      </c>
      <c r="I10" s="2">
        <v>19</v>
      </c>
      <c r="J10" s="2"/>
      <c r="K10" s="2"/>
    </row>
    <row r="11" spans="1:11">
      <c r="A11" t="s">
        <v>28</v>
      </c>
      <c r="B11" t="s">
        <v>29</v>
      </c>
      <c r="C11" s="1">
        <v>42550</v>
      </c>
      <c r="D11" t="s">
        <v>30</v>
      </c>
      <c r="F11" s="2">
        <v>6575</v>
      </c>
      <c r="G11">
        <v>100</v>
      </c>
      <c r="H11">
        <v>31</v>
      </c>
      <c r="I11" s="2">
        <v>2038.24</v>
      </c>
      <c r="J11" s="2"/>
      <c r="K11" s="2"/>
    </row>
    <row r="12" spans="1:11">
      <c r="A12" t="s">
        <v>28</v>
      </c>
      <c r="B12" t="s">
        <v>29</v>
      </c>
      <c r="C12" s="1">
        <v>42550</v>
      </c>
      <c r="D12" t="s">
        <v>30</v>
      </c>
      <c r="F12" s="2">
        <v>1450</v>
      </c>
      <c r="G12">
        <v>100</v>
      </c>
      <c r="H12">
        <v>31</v>
      </c>
      <c r="I12" s="2">
        <v>449.5</v>
      </c>
      <c r="J12" s="2"/>
      <c r="K12" s="2"/>
    </row>
    <row r="13" spans="1:11">
      <c r="A13" t="s">
        <v>28</v>
      </c>
      <c r="B13" t="s">
        <v>29</v>
      </c>
      <c r="C13" s="1">
        <v>42550</v>
      </c>
      <c r="D13" t="s">
        <v>30</v>
      </c>
      <c r="F13" s="2">
        <v>475</v>
      </c>
      <c r="G13">
        <v>100</v>
      </c>
      <c r="H13">
        <v>4</v>
      </c>
      <c r="I13" s="2">
        <v>19</v>
      </c>
      <c r="J13" s="2"/>
      <c r="K13" s="2"/>
    </row>
    <row r="14" spans="1:11">
      <c r="A14" t="s">
        <v>28</v>
      </c>
      <c r="B14" t="s">
        <v>33</v>
      </c>
      <c r="C14" s="1">
        <v>42642</v>
      </c>
      <c r="D14" t="s">
        <v>34</v>
      </c>
      <c r="F14" s="2">
        <v>6575</v>
      </c>
      <c r="G14">
        <v>100</v>
      </c>
      <c r="H14">
        <v>31</v>
      </c>
      <c r="I14" s="2">
        <v>2038.24</v>
      </c>
      <c r="J14" s="2"/>
      <c r="K14" s="2"/>
    </row>
    <row r="15" spans="1:11">
      <c r="A15" t="s">
        <v>28</v>
      </c>
      <c r="B15" t="s">
        <v>33</v>
      </c>
      <c r="C15" s="1">
        <v>42642</v>
      </c>
      <c r="D15" t="s">
        <v>34</v>
      </c>
      <c r="F15" s="2">
        <v>1450</v>
      </c>
      <c r="G15">
        <v>100</v>
      </c>
      <c r="H15">
        <v>31</v>
      </c>
      <c r="I15" s="2">
        <v>449.5</v>
      </c>
      <c r="J15" s="2"/>
      <c r="K15" s="2"/>
    </row>
    <row r="16" spans="1:11">
      <c r="A16" t="s">
        <v>28</v>
      </c>
      <c r="B16" t="s">
        <v>33</v>
      </c>
      <c r="C16" s="1">
        <v>42642</v>
      </c>
      <c r="D16" t="s">
        <v>34</v>
      </c>
      <c r="F16" s="2">
        <v>475</v>
      </c>
      <c r="G16">
        <v>100</v>
      </c>
      <c r="H16">
        <v>4</v>
      </c>
      <c r="I16" s="2">
        <v>19</v>
      </c>
      <c r="J16" s="2"/>
      <c r="K16" s="2"/>
    </row>
    <row r="17" spans="1:13">
      <c r="A17" t="s">
        <v>28</v>
      </c>
      <c r="B17" t="s">
        <v>31</v>
      </c>
      <c r="C17" s="1">
        <v>42733</v>
      </c>
      <c r="D17" t="s">
        <v>32</v>
      </c>
      <c r="F17" s="2">
        <v>6575</v>
      </c>
      <c r="G17">
        <v>100</v>
      </c>
      <c r="H17">
        <v>31</v>
      </c>
      <c r="I17" s="2">
        <v>2038.24</v>
      </c>
      <c r="J17" s="2"/>
      <c r="K17" s="2"/>
    </row>
    <row r="18" spans="1:13">
      <c r="A18" t="s">
        <v>28</v>
      </c>
      <c r="B18" t="s">
        <v>31</v>
      </c>
      <c r="C18" s="1">
        <v>42733</v>
      </c>
      <c r="D18" t="s">
        <v>32</v>
      </c>
      <c r="F18" s="2">
        <v>1450</v>
      </c>
      <c r="G18">
        <v>100</v>
      </c>
      <c r="H18">
        <v>31</v>
      </c>
      <c r="I18" s="2">
        <v>449.5</v>
      </c>
      <c r="J18" s="2"/>
      <c r="K18" s="2"/>
    </row>
    <row r="19" spans="1:13">
      <c r="A19" t="s">
        <v>28</v>
      </c>
      <c r="B19" t="s">
        <v>31</v>
      </c>
      <c r="C19" s="1">
        <v>42733</v>
      </c>
      <c r="D19" t="s">
        <v>32</v>
      </c>
      <c r="F19" s="2">
        <v>475</v>
      </c>
      <c r="G19">
        <v>100</v>
      </c>
      <c r="H19">
        <v>4</v>
      </c>
      <c r="I19" s="2">
        <v>19</v>
      </c>
      <c r="J19" s="2"/>
      <c r="K19" s="2"/>
      <c r="M19" s="2"/>
    </row>
    <row r="20" spans="1:13">
      <c r="A20" t="s">
        <v>35</v>
      </c>
      <c r="B20" t="s">
        <v>36</v>
      </c>
      <c r="C20" s="1"/>
      <c r="F20" s="2">
        <f>SUM(F8:F19)</f>
        <v>34000</v>
      </c>
      <c r="I20" s="2">
        <f>SUM(I8:I19)</f>
        <v>10026.98</v>
      </c>
      <c r="J20" s="2"/>
      <c r="K20" s="2"/>
    </row>
    <row r="21" spans="1:13">
      <c r="C21" s="1"/>
      <c r="F21" s="2"/>
      <c r="I21" s="2"/>
      <c r="J21" s="2"/>
      <c r="K21" s="2"/>
    </row>
    <row r="22" spans="1:13">
      <c r="A22" t="s">
        <v>21</v>
      </c>
      <c r="B22" t="s">
        <v>20</v>
      </c>
      <c r="C22" s="1">
        <v>42936</v>
      </c>
      <c r="D22" t="s">
        <v>18</v>
      </c>
      <c r="F22" s="2"/>
      <c r="I22" s="2">
        <v>-10027</v>
      </c>
      <c r="J22" s="2"/>
      <c r="K22" s="2"/>
    </row>
    <row r="23" spans="1:13">
      <c r="A23" t="s">
        <v>21</v>
      </c>
      <c r="C23" s="1">
        <v>42936</v>
      </c>
      <c r="D23" t="s">
        <v>18</v>
      </c>
      <c r="E23" t="s">
        <v>22</v>
      </c>
      <c r="F23" s="2">
        <v>23875.64</v>
      </c>
      <c r="G23">
        <v>100</v>
      </c>
      <c r="H23">
        <v>31</v>
      </c>
      <c r="I23" s="2">
        <v>7401.46</v>
      </c>
      <c r="J23" s="2">
        <v>724.58</v>
      </c>
      <c r="K23" s="2">
        <v>1134.47</v>
      </c>
    </row>
    <row r="24" spans="1:13">
      <c r="A24" t="s">
        <v>21</v>
      </c>
      <c r="C24" s="1">
        <v>42936</v>
      </c>
      <c r="D24" t="s">
        <v>18</v>
      </c>
      <c r="E24" t="s">
        <v>24</v>
      </c>
      <c r="F24" s="2">
        <v>5796.34</v>
      </c>
      <c r="G24">
        <v>100</v>
      </c>
      <c r="H24">
        <v>31</v>
      </c>
      <c r="I24" s="2">
        <v>1796.86</v>
      </c>
      <c r="J24" s="2">
        <v>218.43</v>
      </c>
      <c r="K24" s="2">
        <v>1089.58</v>
      </c>
    </row>
    <row r="25" spans="1:13">
      <c r="A25" t="s">
        <v>21</v>
      </c>
      <c r="C25" s="1">
        <v>42936</v>
      </c>
      <c r="D25" t="s">
        <v>18</v>
      </c>
      <c r="E25" t="s">
        <v>25</v>
      </c>
      <c r="F25" s="2">
        <v>1675.83</v>
      </c>
      <c r="G25">
        <v>100</v>
      </c>
      <c r="H25">
        <v>4</v>
      </c>
      <c r="I25" s="2">
        <v>67.03</v>
      </c>
      <c r="J25" s="2">
        <v>8.61</v>
      </c>
      <c r="K25" s="2">
        <v>67.06</v>
      </c>
    </row>
    <row r="26" spans="1:13">
      <c r="A26" t="s">
        <v>35</v>
      </c>
      <c r="B26" t="s">
        <v>21</v>
      </c>
      <c r="F26" s="2">
        <f>SUM(F23:F25)</f>
        <v>31347.809999999998</v>
      </c>
      <c r="I26" s="2">
        <f>SUM(I23:I25)</f>
        <v>9265.35</v>
      </c>
      <c r="J26" s="2">
        <f>SUM(J23:J25)</f>
        <v>951.62</v>
      </c>
      <c r="K26" s="2">
        <f>SUM(K23:K25)</f>
        <v>2291.11</v>
      </c>
    </row>
    <row r="28" spans="1:13">
      <c r="A28" t="s">
        <v>37</v>
      </c>
      <c r="B28" t="s">
        <v>38</v>
      </c>
      <c r="F28" s="3">
        <f>F20-F26</f>
        <v>2652.1900000000023</v>
      </c>
      <c r="I28" s="3">
        <f>I20-I26</f>
        <v>761.6299999999992</v>
      </c>
    </row>
    <row r="29" spans="1:13">
      <c r="A29" t="s">
        <v>53</v>
      </c>
      <c r="I29">
        <v>761.65</v>
      </c>
    </row>
    <row r="31" spans="1:13">
      <c r="A31" t="s">
        <v>75</v>
      </c>
      <c r="B31" t="s">
        <v>28</v>
      </c>
      <c r="C31" s="1">
        <v>43097</v>
      </c>
      <c r="D31" t="s">
        <v>39</v>
      </c>
      <c r="I31">
        <v>761.65</v>
      </c>
    </row>
    <row r="33" spans="1:9">
      <c r="A33" t="s">
        <v>74</v>
      </c>
      <c r="C33" s="1">
        <v>43097</v>
      </c>
      <c r="I33">
        <v>0</v>
      </c>
    </row>
  </sheetData>
  <mergeCells count="1">
    <mergeCell ref="G3:H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4:M26"/>
  <sheetViews>
    <sheetView workbookViewId="0">
      <selection activeCell="H8" sqref="H8"/>
    </sheetView>
  </sheetViews>
  <sheetFormatPr baseColWidth="10" defaultRowHeight="14.4"/>
  <cols>
    <col min="1" max="1" width="20.6640625" bestFit="1" customWidth="1"/>
    <col min="2" max="2" width="22.88671875" bestFit="1" customWidth="1"/>
    <col min="3" max="3" width="19.88671875" bestFit="1" customWidth="1"/>
    <col min="4" max="4" width="21.88671875" bestFit="1" customWidth="1"/>
    <col min="5" max="5" width="25" bestFit="1" customWidth="1"/>
    <col min="6" max="6" width="11.5546875" bestFit="1" customWidth="1"/>
    <col min="7" max="7" width="14" bestFit="1" customWidth="1"/>
    <col min="8" max="8" width="13.21875" bestFit="1" customWidth="1"/>
    <col min="9" max="9" width="8.44140625" bestFit="1" customWidth="1"/>
    <col min="10" max="10" width="9.44140625" bestFit="1" customWidth="1"/>
    <col min="11" max="11" width="12.77734375" bestFit="1" customWidth="1"/>
    <col min="12" max="12" width="8.44140625" bestFit="1" customWidth="1"/>
    <col min="13" max="13" width="10.44140625" bestFit="1" customWidth="1"/>
  </cols>
  <sheetData>
    <row r="4" spans="1:13">
      <c r="F4" s="193" t="s">
        <v>69</v>
      </c>
      <c r="G4" s="193"/>
      <c r="H4" s="193"/>
    </row>
    <row r="5" spans="1:13">
      <c r="A5" t="s">
        <v>9</v>
      </c>
      <c r="C5" t="s">
        <v>0</v>
      </c>
      <c r="D5" t="s">
        <v>1</v>
      </c>
      <c r="F5" s="4" t="s">
        <v>71</v>
      </c>
      <c r="G5" t="s">
        <v>68</v>
      </c>
      <c r="H5" t="s">
        <v>2</v>
      </c>
      <c r="I5" t="s">
        <v>3</v>
      </c>
      <c r="J5" t="s">
        <v>4</v>
      </c>
      <c r="K5" t="s">
        <v>5</v>
      </c>
      <c r="L5" t="s">
        <v>19</v>
      </c>
      <c r="M5" t="s">
        <v>23</v>
      </c>
    </row>
    <row r="7" spans="1:13">
      <c r="A7" t="s">
        <v>72</v>
      </c>
      <c r="B7" t="s">
        <v>15</v>
      </c>
      <c r="C7" s="1">
        <v>42607</v>
      </c>
      <c r="D7" t="s">
        <v>16</v>
      </c>
      <c r="E7" t="s">
        <v>14</v>
      </c>
      <c r="F7" s="2">
        <v>3649.8</v>
      </c>
      <c r="G7" s="2">
        <v>182.49</v>
      </c>
      <c r="H7" s="2">
        <v>6274.44</v>
      </c>
      <c r="I7">
        <v>100</v>
      </c>
      <c r="J7">
        <v>31</v>
      </c>
      <c r="K7" s="2">
        <v>1945.08</v>
      </c>
      <c r="L7" s="2"/>
      <c r="M7" s="2"/>
    </row>
    <row r="8" spans="1:13">
      <c r="C8" s="1"/>
      <c r="F8" s="2"/>
      <c r="G8" s="2"/>
      <c r="H8" s="2">
        <f>H7</f>
        <v>6274.44</v>
      </c>
      <c r="K8" s="2">
        <f>K7</f>
        <v>1945.08</v>
      </c>
      <c r="L8" s="2"/>
      <c r="M8" s="2"/>
    </row>
    <row r="9" spans="1:13">
      <c r="C9" s="1"/>
      <c r="F9" s="2"/>
      <c r="G9" s="2"/>
      <c r="H9" s="2"/>
      <c r="K9" s="2"/>
      <c r="L9" s="2"/>
      <c r="M9" s="2"/>
    </row>
    <row r="10" spans="1:13">
      <c r="A10" t="s">
        <v>72</v>
      </c>
      <c r="B10" t="s">
        <v>20</v>
      </c>
      <c r="C10" s="1">
        <v>42936</v>
      </c>
      <c r="D10" t="s">
        <v>18</v>
      </c>
      <c r="E10" t="s">
        <v>14</v>
      </c>
      <c r="F10" s="2"/>
      <c r="G10" s="2"/>
      <c r="H10" s="2"/>
      <c r="K10" s="2">
        <v>-1945.08</v>
      </c>
      <c r="L10" s="2"/>
      <c r="M10" s="2"/>
    </row>
    <row r="11" spans="1:13">
      <c r="A11" t="s">
        <v>72</v>
      </c>
      <c r="B11" t="s">
        <v>17</v>
      </c>
      <c r="C11" s="1">
        <v>42936</v>
      </c>
      <c r="D11" t="s">
        <v>18</v>
      </c>
      <c r="E11" t="s">
        <v>14</v>
      </c>
      <c r="H11" s="2">
        <v>3649.8</v>
      </c>
      <c r="I11">
        <v>100</v>
      </c>
      <c r="J11">
        <v>31</v>
      </c>
      <c r="K11" s="2">
        <v>1188.02</v>
      </c>
      <c r="L11" s="2">
        <v>198</v>
      </c>
      <c r="M11" s="2"/>
    </row>
    <row r="12" spans="1:13">
      <c r="H12" s="2">
        <f>H11</f>
        <v>3649.8</v>
      </c>
      <c r="K12" s="2">
        <f>K11</f>
        <v>1188.02</v>
      </c>
    </row>
    <row r="13" spans="1:13">
      <c r="K13" s="2"/>
    </row>
    <row r="14" spans="1:13">
      <c r="H14" s="3">
        <f>H8-H12</f>
        <v>2624.6399999999994</v>
      </c>
      <c r="K14" s="3">
        <f>K8-K11</f>
        <v>757.06</v>
      </c>
    </row>
    <row r="16" spans="1:13">
      <c r="A16" t="s">
        <v>75</v>
      </c>
      <c r="B16" t="s">
        <v>28</v>
      </c>
      <c r="C16" s="1">
        <v>43097</v>
      </c>
      <c r="D16" t="s">
        <v>39</v>
      </c>
      <c r="K16">
        <v>757.06</v>
      </c>
    </row>
    <row r="17" spans="1:12">
      <c r="C17" s="1"/>
    </row>
    <row r="18" spans="1:12">
      <c r="A18" s="5" t="s">
        <v>72</v>
      </c>
      <c r="B18" s="5"/>
      <c r="C18" s="6">
        <v>43097</v>
      </c>
      <c r="D18" s="5"/>
      <c r="E18" s="5"/>
      <c r="F18" s="5"/>
      <c r="G18" s="5"/>
      <c r="H18" s="5"/>
      <c r="I18" s="5"/>
      <c r="J18" s="5"/>
      <c r="K18" s="5">
        <v>0</v>
      </c>
    </row>
    <row r="21" spans="1:12" s="93" customFormat="1">
      <c r="B21" t="s">
        <v>72</v>
      </c>
      <c r="D21" s="93" t="s">
        <v>96</v>
      </c>
      <c r="E21" s="93" t="s">
        <v>95</v>
      </c>
      <c r="F21" s="93" t="s">
        <v>131</v>
      </c>
      <c r="G21" s="93" t="s">
        <v>98</v>
      </c>
      <c r="H21" s="93" t="s">
        <v>3</v>
      </c>
      <c r="I21" s="93" t="s">
        <v>4</v>
      </c>
      <c r="J21" s="93" t="s">
        <v>96</v>
      </c>
      <c r="K21" s="93" t="s">
        <v>131</v>
      </c>
      <c r="L21" s="93" t="s">
        <v>98</v>
      </c>
    </row>
    <row r="22" spans="1:12" s="93" customFormat="1"/>
    <row r="23" spans="1:12" s="93" customFormat="1">
      <c r="A23" s="92" t="s">
        <v>71</v>
      </c>
      <c r="B23" s="88" t="s">
        <v>139</v>
      </c>
      <c r="C23" s="85"/>
      <c r="D23" s="84">
        <v>3041.5</v>
      </c>
      <c r="E23" s="81">
        <v>0.2</v>
      </c>
      <c r="F23" s="84">
        <f>D23*E23</f>
        <v>608.30000000000007</v>
      </c>
      <c r="G23" s="84">
        <f>D23+F23</f>
        <v>3649.8</v>
      </c>
      <c r="H23" s="93">
        <v>100</v>
      </c>
      <c r="I23" s="93">
        <v>31</v>
      </c>
      <c r="J23" s="84">
        <f>D23*I23/H23</f>
        <v>942.86500000000001</v>
      </c>
      <c r="K23" s="84">
        <f>F23*I23/H23</f>
        <v>188.57300000000004</v>
      </c>
      <c r="L23" s="84">
        <f>G23*I23/H23</f>
        <v>1131.4380000000001</v>
      </c>
    </row>
    <row r="24" spans="1:12" s="93" customFormat="1">
      <c r="A24" s="93" t="s">
        <v>133</v>
      </c>
      <c r="B24" s="87" t="s">
        <v>134</v>
      </c>
      <c r="D24" s="84">
        <f>D23*5%</f>
        <v>152.07500000000002</v>
      </c>
      <c r="E24" s="81">
        <v>0.2</v>
      </c>
      <c r="F24" s="84">
        <f>D24*E24</f>
        <v>30.415000000000006</v>
      </c>
      <c r="G24" s="84">
        <f>D24+F24</f>
        <v>182.49</v>
      </c>
      <c r="H24" s="93">
        <v>100</v>
      </c>
      <c r="I24" s="93">
        <v>31</v>
      </c>
      <c r="J24" s="84">
        <f>D24*I24/H24</f>
        <v>47.143250000000009</v>
      </c>
      <c r="K24" s="84">
        <f>F24*I24/H24</f>
        <v>9.4286500000000029</v>
      </c>
      <c r="L24" s="84">
        <f>G24*I24/H24</f>
        <v>56.571900000000007</v>
      </c>
    </row>
    <row r="25" spans="1:12" s="93" customFormat="1"/>
    <row r="26" spans="1:12" s="93" customFormat="1">
      <c r="B26" s="93" t="s">
        <v>135</v>
      </c>
      <c r="D26" s="84">
        <f>SUM(D23:D24)</f>
        <v>3193.5749999999998</v>
      </c>
      <c r="F26" s="84">
        <f>SUM(F23:F24)</f>
        <v>638.71500000000003</v>
      </c>
      <c r="G26" s="84">
        <f>SUM(G23:G24)</f>
        <v>3832.29</v>
      </c>
      <c r="J26" s="84">
        <f>SUM(J23:J24)</f>
        <v>990.00824999999998</v>
      </c>
      <c r="K26" s="82">
        <f>SUM(K23:K24)</f>
        <v>198.00165000000004</v>
      </c>
      <c r="L26" s="84">
        <f>SUM(L23:L24)</f>
        <v>1188.0099</v>
      </c>
    </row>
  </sheetData>
  <mergeCells count="1">
    <mergeCell ref="F4:H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4:M24"/>
  <sheetViews>
    <sheetView workbookViewId="0">
      <selection activeCell="L11" sqref="L11"/>
    </sheetView>
  </sheetViews>
  <sheetFormatPr baseColWidth="10" defaultRowHeight="14.4"/>
  <cols>
    <col min="1" max="1" width="18.5546875" bestFit="1" customWidth="1"/>
    <col min="2" max="2" width="13.77734375" bestFit="1" customWidth="1"/>
    <col min="3" max="3" width="19.88671875" bestFit="1" customWidth="1"/>
    <col min="4" max="4" width="21.88671875" bestFit="1" customWidth="1"/>
    <col min="5" max="5" width="25" bestFit="1" customWidth="1"/>
    <col min="6" max="6" width="11.5546875" bestFit="1" customWidth="1"/>
    <col min="7" max="7" width="14" bestFit="1" customWidth="1"/>
    <col min="8" max="8" width="13.21875" bestFit="1" customWidth="1"/>
    <col min="9" max="9" width="8.44140625" bestFit="1" customWidth="1"/>
    <col min="10" max="10" width="9.44140625" bestFit="1" customWidth="1"/>
    <col min="11" max="11" width="12.77734375" bestFit="1" customWidth="1"/>
    <col min="12" max="12" width="8.44140625" bestFit="1" customWidth="1"/>
    <col min="13" max="13" width="10.44140625" bestFit="1" customWidth="1"/>
  </cols>
  <sheetData>
    <row r="4" spans="1:13">
      <c r="F4" s="193" t="s">
        <v>69</v>
      </c>
      <c r="G4" s="193"/>
      <c r="H4" s="193"/>
    </row>
    <row r="5" spans="1:13">
      <c r="A5" t="s">
        <v>9</v>
      </c>
      <c r="C5" t="s">
        <v>0</v>
      </c>
      <c r="D5" t="s">
        <v>1</v>
      </c>
      <c r="F5" s="4" t="s">
        <v>73</v>
      </c>
      <c r="G5" t="s">
        <v>68</v>
      </c>
      <c r="H5" t="s">
        <v>2</v>
      </c>
      <c r="I5" t="s">
        <v>3</v>
      </c>
      <c r="J5" t="s">
        <v>4</v>
      </c>
      <c r="K5" t="s">
        <v>5</v>
      </c>
      <c r="L5" t="s">
        <v>19</v>
      </c>
      <c r="M5" t="s">
        <v>23</v>
      </c>
    </row>
    <row r="7" spans="1:13">
      <c r="A7" t="s">
        <v>11</v>
      </c>
      <c r="B7" t="s">
        <v>12</v>
      </c>
      <c r="C7" s="1">
        <v>42578</v>
      </c>
      <c r="D7" t="s">
        <v>13</v>
      </c>
      <c r="E7" t="s">
        <v>14</v>
      </c>
      <c r="F7" s="2">
        <v>2160</v>
      </c>
      <c r="G7" s="2">
        <v>108</v>
      </c>
      <c r="H7" s="2">
        <v>2268</v>
      </c>
      <c r="I7">
        <v>100</v>
      </c>
      <c r="J7">
        <v>31</v>
      </c>
      <c r="K7" s="2">
        <v>703.08</v>
      </c>
      <c r="L7" s="2"/>
      <c r="M7" s="2"/>
    </row>
    <row r="8" spans="1:13">
      <c r="F8" s="2"/>
      <c r="G8" s="2"/>
      <c r="H8" s="2">
        <f>H7</f>
        <v>2268</v>
      </c>
      <c r="K8" s="2">
        <f>K7</f>
        <v>703.08</v>
      </c>
    </row>
    <row r="9" spans="1:13">
      <c r="F9" s="2"/>
      <c r="G9" s="2"/>
    </row>
    <row r="10" spans="1:13">
      <c r="A10" s="95" t="s">
        <v>11</v>
      </c>
      <c r="B10" s="95" t="s">
        <v>20</v>
      </c>
      <c r="C10" s="96">
        <v>42936</v>
      </c>
      <c r="D10" s="95" t="s">
        <v>18</v>
      </c>
      <c r="E10" s="95" t="s">
        <v>14</v>
      </c>
      <c r="F10" s="97"/>
      <c r="G10" s="97"/>
      <c r="H10" s="97"/>
      <c r="I10" s="95"/>
      <c r="J10" s="95"/>
      <c r="K10" s="97">
        <v>-703.08</v>
      </c>
      <c r="L10" s="97"/>
      <c r="M10" s="97"/>
    </row>
    <row r="11" spans="1:13">
      <c r="A11" s="95" t="s">
        <v>11</v>
      </c>
      <c r="B11" s="95" t="s">
        <v>17</v>
      </c>
      <c r="C11" s="96">
        <v>42936</v>
      </c>
      <c r="D11" s="95" t="s">
        <v>18</v>
      </c>
      <c r="E11" s="95" t="s">
        <v>14</v>
      </c>
      <c r="F11" s="95"/>
      <c r="G11" s="95"/>
      <c r="H11" s="97">
        <v>2268</v>
      </c>
      <c r="I11" s="95">
        <v>100</v>
      </c>
      <c r="J11" s="95">
        <v>31</v>
      </c>
      <c r="K11" s="97">
        <v>703.08</v>
      </c>
      <c r="L11" s="94">
        <v>66.45</v>
      </c>
      <c r="M11" s="97"/>
    </row>
    <row r="12" spans="1:13">
      <c r="A12" s="95"/>
      <c r="B12" s="95"/>
      <c r="C12" s="95"/>
      <c r="D12" s="95"/>
      <c r="E12" s="95"/>
      <c r="F12" s="95"/>
      <c r="G12" s="95"/>
      <c r="H12" s="97">
        <f>H11</f>
        <v>2268</v>
      </c>
      <c r="I12" s="95"/>
      <c r="J12" s="95"/>
      <c r="K12" s="97">
        <f>K11</f>
        <v>703.08</v>
      </c>
      <c r="L12" s="95"/>
      <c r="M12" s="95"/>
    </row>
    <row r="13" spans="1:13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7"/>
      <c r="L13" s="95"/>
      <c r="M13" s="95"/>
    </row>
    <row r="14" spans="1:13">
      <c r="A14" s="95"/>
      <c r="B14" s="95"/>
      <c r="C14" s="95"/>
      <c r="D14" s="95"/>
      <c r="E14" s="95"/>
      <c r="F14" s="95"/>
      <c r="G14" s="95"/>
      <c r="H14" s="98">
        <f>H8-H12</f>
        <v>0</v>
      </c>
      <c r="I14" s="95"/>
      <c r="J14" s="95"/>
      <c r="K14" s="98">
        <f>K8-K12</f>
        <v>0</v>
      </c>
      <c r="L14" s="95"/>
      <c r="M14" s="95"/>
    </row>
    <row r="15" spans="1:13">
      <c r="A15" s="95"/>
      <c r="B15" s="95"/>
      <c r="C15" s="96"/>
      <c r="D15" s="95"/>
      <c r="E15" s="95"/>
      <c r="F15" s="95"/>
      <c r="G15" s="95"/>
      <c r="H15" s="95"/>
      <c r="I15" s="95"/>
      <c r="J15" s="95"/>
      <c r="K15" s="95"/>
      <c r="L15" s="95"/>
    </row>
    <row r="16" spans="1:13">
      <c r="A16" s="100" t="s">
        <v>72</v>
      </c>
      <c r="B16" s="100"/>
      <c r="C16" s="101">
        <v>42936</v>
      </c>
      <c r="D16" s="100"/>
      <c r="E16" s="100"/>
      <c r="F16" s="100"/>
      <c r="G16" s="100"/>
      <c r="H16" s="100"/>
      <c r="I16" s="100"/>
      <c r="J16" s="100"/>
      <c r="K16" s="100">
        <v>0</v>
      </c>
      <c r="L16" s="95"/>
    </row>
    <row r="19" spans="1:12">
      <c r="A19" s="104"/>
      <c r="B19" s="95" t="s">
        <v>11</v>
      </c>
      <c r="C19" s="104"/>
      <c r="D19" s="104" t="s">
        <v>96</v>
      </c>
      <c r="E19" s="104" t="s">
        <v>95</v>
      </c>
      <c r="F19" s="104" t="s">
        <v>131</v>
      </c>
      <c r="G19" s="104" t="s">
        <v>98</v>
      </c>
      <c r="H19" s="104" t="s">
        <v>3</v>
      </c>
      <c r="I19" s="104" t="s">
        <v>4</v>
      </c>
      <c r="J19" s="104" t="s">
        <v>96</v>
      </c>
      <c r="K19" s="104" t="s">
        <v>131</v>
      </c>
      <c r="L19" s="104" t="s">
        <v>98</v>
      </c>
    </row>
    <row r="20" spans="1:1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2">
      <c r="A21" s="99" t="s">
        <v>73</v>
      </c>
      <c r="B21" s="108" t="s">
        <v>140</v>
      </c>
      <c r="C21" s="106"/>
      <c r="D21" s="105">
        <v>1800</v>
      </c>
      <c r="E21" s="102">
        <v>0.2</v>
      </c>
      <c r="F21" s="105">
        <f>D21*E21</f>
        <v>360</v>
      </c>
      <c r="G21" s="105">
        <f>D21+F21</f>
        <v>2160</v>
      </c>
      <c r="H21" s="104">
        <v>100</v>
      </c>
      <c r="I21" s="104">
        <v>31</v>
      </c>
      <c r="J21" s="105">
        <f>D21*I21/H21</f>
        <v>558</v>
      </c>
      <c r="K21" s="105">
        <f>F21*I21/H21</f>
        <v>111.6</v>
      </c>
      <c r="L21" s="105">
        <f>G21*I21/H21</f>
        <v>669.6</v>
      </c>
    </row>
    <row r="22" spans="1:12">
      <c r="A22" s="104" t="s">
        <v>133</v>
      </c>
      <c r="B22" s="107" t="s">
        <v>134</v>
      </c>
      <c r="C22" s="104"/>
      <c r="D22" s="105">
        <f>D21*5%</f>
        <v>90</v>
      </c>
      <c r="E22" s="102">
        <v>0.2</v>
      </c>
      <c r="F22" s="105">
        <f>D22*E22</f>
        <v>18</v>
      </c>
      <c r="G22" s="105">
        <f>D22+F22</f>
        <v>108</v>
      </c>
      <c r="H22" s="104">
        <v>100</v>
      </c>
      <c r="I22" s="104">
        <v>31</v>
      </c>
      <c r="J22" s="105">
        <f>D22*I22/H22</f>
        <v>27.9</v>
      </c>
      <c r="K22" s="105">
        <f>F22*I22/H22</f>
        <v>5.58</v>
      </c>
      <c r="L22" s="105">
        <f>G22*I22/H22</f>
        <v>33.479999999999997</v>
      </c>
    </row>
    <row r="23" spans="1:1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>
      <c r="A24" s="104"/>
      <c r="B24" s="104" t="s">
        <v>135</v>
      </c>
      <c r="C24" s="104"/>
      <c r="D24" s="105">
        <f>D21+D22</f>
        <v>1890</v>
      </c>
      <c r="E24" s="104"/>
      <c r="F24" s="105">
        <f t="shared" ref="F24:G24" si="0">F21+F22</f>
        <v>378</v>
      </c>
      <c r="G24" s="105">
        <f t="shared" si="0"/>
        <v>2268</v>
      </c>
      <c r="H24" s="104"/>
      <c r="I24" s="104"/>
      <c r="J24" s="105">
        <f>J21+J22</f>
        <v>585.9</v>
      </c>
      <c r="K24" s="103">
        <f>K21+K22</f>
        <v>117.17999999999999</v>
      </c>
      <c r="L24" s="105">
        <f>L21+L22</f>
        <v>703.08</v>
      </c>
    </row>
  </sheetData>
  <mergeCells count="1">
    <mergeCell ref="F4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5:N19"/>
  <sheetViews>
    <sheetView workbookViewId="0">
      <selection activeCell="J19" sqref="J19:L19"/>
    </sheetView>
  </sheetViews>
  <sheetFormatPr baseColWidth="10" defaultRowHeight="14.4"/>
  <cols>
    <col min="1" max="2" width="26.5546875" bestFit="1" customWidth="1"/>
    <col min="3" max="3" width="19.88671875" bestFit="1" customWidth="1"/>
    <col min="4" max="4" width="21.88671875" bestFit="1" customWidth="1"/>
    <col min="5" max="5" width="14.44140625" bestFit="1" customWidth="1"/>
    <col min="6" max="6" width="10.5546875" bestFit="1" customWidth="1"/>
    <col min="7" max="7" width="14.44140625" bestFit="1" customWidth="1"/>
    <col min="8" max="8" width="10.44140625" bestFit="1" customWidth="1"/>
    <col min="9" max="9" width="13.21875" bestFit="1" customWidth="1"/>
    <col min="10" max="10" width="8.44140625" bestFit="1" customWidth="1"/>
    <col min="11" max="11" width="9.44140625" bestFit="1" customWidth="1"/>
    <col min="12" max="12" width="12.77734375" bestFit="1" customWidth="1"/>
    <col min="13" max="13" width="8.44140625" bestFit="1" customWidth="1"/>
    <col min="14" max="14" width="10.44140625" bestFit="1" customWidth="1"/>
  </cols>
  <sheetData>
    <row r="5" spans="1:14">
      <c r="A5" t="s">
        <v>81</v>
      </c>
      <c r="C5" t="s">
        <v>0</v>
      </c>
      <c r="D5" t="s">
        <v>1</v>
      </c>
      <c r="E5" t="s">
        <v>41</v>
      </c>
      <c r="F5" t="s">
        <v>127</v>
      </c>
      <c r="G5" t="s">
        <v>68</v>
      </c>
      <c r="H5" t="s">
        <v>49</v>
      </c>
      <c r="I5" t="s">
        <v>2</v>
      </c>
      <c r="J5" t="s">
        <v>3</v>
      </c>
      <c r="K5" t="s">
        <v>4</v>
      </c>
      <c r="L5" t="s">
        <v>5</v>
      </c>
      <c r="M5" t="s">
        <v>19</v>
      </c>
      <c r="N5" t="s">
        <v>23</v>
      </c>
    </row>
    <row r="7" spans="1:14">
      <c r="A7" t="s">
        <v>80</v>
      </c>
      <c r="B7" t="s">
        <v>42</v>
      </c>
      <c r="C7" s="89">
        <v>42936</v>
      </c>
      <c r="D7" s="78" t="s">
        <v>43</v>
      </c>
      <c r="E7" s="78" t="s">
        <v>24</v>
      </c>
      <c r="F7" s="80">
        <v>2479.8000000000002</v>
      </c>
      <c r="G7" s="80">
        <v>130.51</v>
      </c>
      <c r="H7" s="80">
        <f>F7+G7</f>
        <v>2610.3100000000004</v>
      </c>
      <c r="I7" s="80">
        <v>2610.31</v>
      </c>
      <c r="J7" s="90">
        <v>100</v>
      </c>
      <c r="K7" s="90">
        <v>31</v>
      </c>
      <c r="L7" s="80">
        <v>809.2</v>
      </c>
      <c r="M7" s="80"/>
      <c r="N7" s="2"/>
    </row>
    <row r="8" spans="1:14">
      <c r="C8" s="78"/>
      <c r="D8" s="78"/>
      <c r="E8" s="78"/>
      <c r="F8" s="78"/>
      <c r="G8" s="78"/>
      <c r="H8" s="78"/>
      <c r="I8" s="80">
        <f>I7</f>
        <v>2610.31</v>
      </c>
      <c r="J8" s="78"/>
      <c r="K8" s="78"/>
      <c r="L8" s="80">
        <f>L7</f>
        <v>809.2</v>
      </c>
      <c r="M8" s="78"/>
    </row>
    <row r="9" spans="1:14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t="s">
        <v>80</v>
      </c>
      <c r="B10" t="s">
        <v>20</v>
      </c>
      <c r="C10" s="89">
        <v>43257</v>
      </c>
      <c r="D10" s="78" t="s">
        <v>125</v>
      </c>
      <c r="E10" s="78" t="s">
        <v>24</v>
      </c>
      <c r="F10" s="80"/>
      <c r="G10" s="80"/>
      <c r="H10" s="80"/>
      <c r="I10" s="78"/>
      <c r="J10" s="78"/>
      <c r="K10" s="80"/>
      <c r="L10" s="80">
        <v>-809.2</v>
      </c>
      <c r="M10" s="80"/>
    </row>
    <row r="11" spans="1:14">
      <c r="A11" t="s">
        <v>80</v>
      </c>
      <c r="B11" t="s">
        <v>17</v>
      </c>
      <c r="C11" s="89">
        <v>43252</v>
      </c>
      <c r="D11" s="78" t="s">
        <v>125</v>
      </c>
      <c r="E11" s="78" t="s">
        <v>24</v>
      </c>
      <c r="F11" s="78"/>
      <c r="G11" s="78"/>
      <c r="H11" s="80"/>
      <c r="I11" s="80">
        <f>I8</f>
        <v>2610.31</v>
      </c>
      <c r="J11" s="90">
        <v>100</v>
      </c>
      <c r="K11" s="90">
        <v>31</v>
      </c>
      <c r="L11" s="80">
        <v>809.2</v>
      </c>
      <c r="M11" s="80">
        <v>76.739999999999995</v>
      </c>
    </row>
    <row r="12" spans="1:14">
      <c r="C12" s="78"/>
      <c r="D12" s="78"/>
      <c r="E12" s="78"/>
      <c r="F12" s="78"/>
      <c r="G12" s="78"/>
      <c r="H12" s="78"/>
      <c r="I12" s="80">
        <f>I11</f>
        <v>2610.31</v>
      </c>
      <c r="J12" s="78"/>
      <c r="K12" s="78"/>
      <c r="L12" s="80">
        <f>L11</f>
        <v>809.2</v>
      </c>
      <c r="M12" s="78"/>
    </row>
    <row r="13" spans="1:14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4">
      <c r="A14" s="5" t="s">
        <v>37</v>
      </c>
      <c r="B14" t="s">
        <v>80</v>
      </c>
      <c r="C14" s="89">
        <v>43257</v>
      </c>
      <c r="D14" s="78" t="s">
        <v>125</v>
      </c>
      <c r="E14" s="78"/>
      <c r="F14" s="78"/>
      <c r="G14" s="78"/>
      <c r="H14" s="82"/>
      <c r="I14" s="82">
        <f>I7-I11</f>
        <v>0</v>
      </c>
      <c r="J14" s="78"/>
      <c r="K14" s="78"/>
      <c r="L14" s="82">
        <f>L7-L11</f>
        <v>0</v>
      </c>
      <c r="M14" s="78"/>
    </row>
    <row r="15" spans="1:14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9" spans="1:12">
      <c r="A19" s="138" t="s">
        <v>80</v>
      </c>
      <c r="B19" s="138" t="s">
        <v>42</v>
      </c>
      <c r="C19" s="161">
        <v>43349</v>
      </c>
      <c r="D19" s="119" t="s">
        <v>174</v>
      </c>
      <c r="E19" s="155" t="s">
        <v>24</v>
      </c>
      <c r="F19" s="136"/>
      <c r="I19" s="120">
        <v>2527.94</v>
      </c>
      <c r="J19" s="160">
        <v>100</v>
      </c>
      <c r="K19" s="160">
        <v>31</v>
      </c>
      <c r="L19" s="162">
        <f>I19*K19/J19</f>
        <v>783.66139999999996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4:N25"/>
  <sheetViews>
    <sheetView topLeftCell="B1" workbookViewId="0">
      <selection activeCell="B20" sqref="A20:XFD25"/>
    </sheetView>
  </sheetViews>
  <sheetFormatPr baseColWidth="10" defaultRowHeight="14.4"/>
  <cols>
    <col min="1" max="1" width="27.88671875" style="83" bestFit="1" customWidth="1"/>
    <col min="2" max="2" width="34.88671875" style="83" bestFit="1" customWidth="1"/>
    <col min="3" max="3" width="19.88671875" style="83" bestFit="1" customWidth="1"/>
    <col min="4" max="4" width="21.88671875" style="83" bestFit="1" customWidth="1"/>
    <col min="5" max="5" width="14.44140625" style="83" bestFit="1" customWidth="1"/>
    <col min="6" max="6" width="8.33203125" style="83" bestFit="1" customWidth="1"/>
    <col min="7" max="7" width="14.44140625" style="83" bestFit="1" customWidth="1"/>
    <col min="8" max="8" width="13.21875" style="83" bestFit="1" customWidth="1"/>
    <col min="9" max="9" width="12.44140625" style="83" bestFit="1" customWidth="1"/>
    <col min="10" max="10" width="8.44140625" style="83" bestFit="1" customWidth="1"/>
    <col min="11" max="11" width="9.44140625" style="83" bestFit="1" customWidth="1"/>
    <col min="12" max="12" width="12.77734375" style="83" bestFit="1" customWidth="1"/>
    <col min="13" max="13" width="8.44140625" style="83" bestFit="1" customWidth="1"/>
    <col min="14" max="14" width="10.44140625" style="83" bestFit="1" customWidth="1"/>
    <col min="15" max="16384" width="11.5546875" style="83"/>
  </cols>
  <sheetData>
    <row r="4" spans="1:14">
      <c r="F4" s="201" t="s">
        <v>83</v>
      </c>
      <c r="G4" s="201"/>
      <c r="H4" s="201"/>
    </row>
    <row r="5" spans="1:14">
      <c r="A5" s="83" t="s">
        <v>9</v>
      </c>
      <c r="C5" s="83" t="s">
        <v>0</v>
      </c>
      <c r="D5" s="83" t="s">
        <v>1</v>
      </c>
      <c r="F5" s="83" t="s">
        <v>85</v>
      </c>
      <c r="G5" s="83" t="s">
        <v>68</v>
      </c>
      <c r="H5" s="83" t="s">
        <v>2</v>
      </c>
      <c r="I5" s="83" t="s">
        <v>91</v>
      </c>
      <c r="J5" s="83" t="s">
        <v>3</v>
      </c>
      <c r="K5" s="83" t="s">
        <v>4</v>
      </c>
      <c r="L5" s="83" t="s">
        <v>5</v>
      </c>
      <c r="M5" s="83" t="s">
        <v>19</v>
      </c>
      <c r="N5" s="83" t="s">
        <v>23</v>
      </c>
    </row>
    <row r="7" spans="1:14">
      <c r="A7" s="83" t="s">
        <v>86</v>
      </c>
      <c r="B7" s="87" t="s">
        <v>45</v>
      </c>
      <c r="C7" s="85">
        <v>42906</v>
      </c>
      <c r="D7" s="83" t="s">
        <v>46</v>
      </c>
      <c r="E7" s="83" t="s">
        <v>24</v>
      </c>
      <c r="F7" s="84">
        <v>2468.2600000000002</v>
      </c>
      <c r="G7" s="84">
        <v>134.6</v>
      </c>
      <c r="H7" s="84">
        <v>2602.9</v>
      </c>
      <c r="I7" s="84">
        <v>2602.86</v>
      </c>
      <c r="J7" s="83">
        <v>100</v>
      </c>
      <c r="K7" s="83">
        <v>31</v>
      </c>
      <c r="L7" s="84">
        <v>806.89</v>
      </c>
      <c r="M7" s="84"/>
      <c r="N7" s="84"/>
    </row>
    <row r="8" spans="1:14">
      <c r="B8" s="87"/>
      <c r="C8" s="85"/>
      <c r="F8" s="84"/>
      <c r="G8" s="84"/>
      <c r="H8" s="84">
        <f>H7</f>
        <v>2602.9</v>
      </c>
      <c r="I8" s="84">
        <f>I7</f>
        <v>2602.86</v>
      </c>
      <c r="L8" s="84">
        <f>L7</f>
        <v>806.89</v>
      </c>
      <c r="M8" s="84"/>
      <c r="N8" s="84"/>
    </row>
    <row r="9" spans="1:14">
      <c r="B9" s="87"/>
      <c r="C9" s="85"/>
      <c r="F9" s="84"/>
      <c r="G9" s="84"/>
      <c r="H9" s="84"/>
      <c r="I9" s="84"/>
      <c r="L9" s="84"/>
      <c r="M9" s="84"/>
      <c r="N9" s="84"/>
    </row>
    <row r="10" spans="1:14">
      <c r="A10" s="83" t="s">
        <v>86</v>
      </c>
      <c r="B10" s="87" t="s">
        <v>20</v>
      </c>
      <c r="C10" s="85">
        <v>43257</v>
      </c>
      <c r="D10" s="83" t="s">
        <v>125</v>
      </c>
      <c r="F10" s="84"/>
      <c r="G10" s="84"/>
      <c r="H10" s="84"/>
      <c r="I10" s="84"/>
      <c r="L10" s="84">
        <v>-806.89</v>
      </c>
      <c r="M10" s="84"/>
      <c r="N10" s="84"/>
    </row>
    <row r="11" spans="1:14">
      <c r="A11" s="83" t="s">
        <v>86</v>
      </c>
      <c r="B11" s="87" t="s">
        <v>17</v>
      </c>
      <c r="C11" s="85">
        <v>43257</v>
      </c>
      <c r="D11" s="83" t="s">
        <v>125</v>
      </c>
      <c r="E11" s="83" t="s">
        <v>126</v>
      </c>
      <c r="H11" s="84">
        <f>H7</f>
        <v>2602.9</v>
      </c>
      <c r="I11" s="84">
        <f>I7</f>
        <v>2602.86</v>
      </c>
      <c r="J11" s="83">
        <v>100</v>
      </c>
      <c r="K11" s="83">
        <v>31</v>
      </c>
      <c r="L11" s="84">
        <v>806.89</v>
      </c>
      <c r="M11" s="82">
        <v>76.510000000000005</v>
      </c>
      <c r="N11" s="84"/>
    </row>
    <row r="12" spans="1:14">
      <c r="B12" s="87"/>
      <c r="H12" s="84">
        <f>H11</f>
        <v>2602.9</v>
      </c>
      <c r="I12" s="84">
        <f>I11</f>
        <v>2602.86</v>
      </c>
      <c r="L12" s="84">
        <f>L11</f>
        <v>806.89</v>
      </c>
    </row>
    <row r="13" spans="1:14">
      <c r="B13" s="87"/>
      <c r="H13" s="84"/>
      <c r="I13" s="84"/>
      <c r="L13" s="84"/>
    </row>
    <row r="14" spans="1:14">
      <c r="A14" s="83" t="s">
        <v>128</v>
      </c>
      <c r="B14" s="87"/>
      <c r="H14" s="84">
        <f>H12-I12</f>
        <v>3.999999999996362E-2</v>
      </c>
    </row>
    <row r="15" spans="1:14">
      <c r="A15" s="86" t="s">
        <v>37</v>
      </c>
      <c r="B15" s="87" t="s">
        <v>86</v>
      </c>
      <c r="C15" s="85">
        <v>43257</v>
      </c>
      <c r="D15" s="83" t="s">
        <v>125</v>
      </c>
      <c r="H15" s="82"/>
      <c r="I15" s="82">
        <f>I8-I12</f>
        <v>0</v>
      </c>
      <c r="L15" s="82">
        <f>L8-L12</f>
        <v>0</v>
      </c>
    </row>
    <row r="19" spans="1:12">
      <c r="H19" s="201" t="s">
        <v>129</v>
      </c>
      <c r="I19" s="201"/>
      <c r="J19" s="201"/>
      <c r="K19" s="201"/>
      <c r="L19" s="201"/>
    </row>
    <row r="20" spans="1:12">
      <c r="B20" s="83" t="s">
        <v>130</v>
      </c>
      <c r="D20" s="83" t="s">
        <v>96</v>
      </c>
      <c r="E20" s="83" t="s">
        <v>95</v>
      </c>
      <c r="F20" s="83" t="s">
        <v>131</v>
      </c>
      <c r="G20" s="83" t="s">
        <v>98</v>
      </c>
      <c r="H20" s="83" t="s">
        <v>3</v>
      </c>
      <c r="I20" s="83" t="s">
        <v>4</v>
      </c>
      <c r="J20" s="83" t="s">
        <v>96</v>
      </c>
      <c r="K20" s="83" t="s">
        <v>131</v>
      </c>
      <c r="L20" s="83" t="s">
        <v>98</v>
      </c>
    </row>
    <row r="22" spans="1:12">
      <c r="A22" s="83" t="s">
        <v>85</v>
      </c>
      <c r="B22" s="87" t="s">
        <v>132</v>
      </c>
      <c r="C22" s="85">
        <v>42838</v>
      </c>
      <c r="D22" s="84">
        <v>2243.87</v>
      </c>
      <c r="E22" s="81">
        <v>0.1</v>
      </c>
      <c r="F22" s="84">
        <f>D22*10%</f>
        <v>224.387</v>
      </c>
      <c r="G22" s="84">
        <f>D22+F22</f>
        <v>2468.2570000000001</v>
      </c>
      <c r="H22" s="83">
        <v>100</v>
      </c>
      <c r="I22" s="83">
        <v>31</v>
      </c>
      <c r="J22" s="84">
        <f>D22*I22/H22</f>
        <v>695.59969999999998</v>
      </c>
      <c r="K22" s="84">
        <f>F22*I22/H22</f>
        <v>69.559970000000007</v>
      </c>
      <c r="L22" s="84">
        <f>G22*I22/H22</f>
        <v>765.15967000000001</v>
      </c>
    </row>
    <row r="23" spans="1:12">
      <c r="A23" s="83" t="s">
        <v>133</v>
      </c>
      <c r="B23" s="87" t="s">
        <v>134</v>
      </c>
      <c r="D23" s="84">
        <f>D22*5%</f>
        <v>112.1935</v>
      </c>
      <c r="E23" s="81">
        <v>0.2</v>
      </c>
      <c r="F23" s="84">
        <f>D23*E23</f>
        <v>22.438700000000001</v>
      </c>
      <c r="G23" s="84">
        <f>D23+F23</f>
        <v>134.63220000000001</v>
      </c>
      <c r="H23" s="83">
        <v>100</v>
      </c>
      <c r="I23" s="83">
        <v>31</v>
      </c>
      <c r="J23" s="84">
        <f>D23*I23/H23</f>
        <v>34.779985000000003</v>
      </c>
      <c r="K23" s="84">
        <f>F23*I23/H23</f>
        <v>6.955997</v>
      </c>
      <c r="L23" s="84">
        <f>G23*I23/H23</f>
        <v>41.735982000000007</v>
      </c>
    </row>
    <row r="25" spans="1:12">
      <c r="B25" s="83" t="s">
        <v>135</v>
      </c>
      <c r="D25" s="84">
        <f>SUM(D22:D23)</f>
        <v>2356.0634999999997</v>
      </c>
      <c r="F25" s="84">
        <f>SUM(F22:F23)</f>
        <v>246.82570000000001</v>
      </c>
      <c r="G25" s="84">
        <f>SUM(G22:G23)</f>
        <v>2602.8892000000001</v>
      </c>
      <c r="J25" s="84">
        <f>SUM(J22:J23)</f>
        <v>730.37968499999999</v>
      </c>
      <c r="K25" s="82">
        <f>SUM(K22:K23)</f>
        <v>76.515967000000003</v>
      </c>
      <c r="L25" s="84">
        <f>SUM(L22:L23)</f>
        <v>806.89565200000004</v>
      </c>
    </row>
  </sheetData>
  <mergeCells count="2">
    <mergeCell ref="F4:H4"/>
    <mergeCell ref="H19:L19"/>
  </mergeCells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4:N73"/>
  <sheetViews>
    <sheetView topLeftCell="A40" workbookViewId="0">
      <selection activeCell="K67" sqref="K67"/>
    </sheetView>
  </sheetViews>
  <sheetFormatPr baseColWidth="10" defaultRowHeight="12"/>
  <cols>
    <col min="1" max="1" width="23" style="8" bestFit="1" customWidth="1"/>
    <col min="2" max="2" width="19.5546875" style="8" bestFit="1" customWidth="1"/>
    <col min="3" max="3" width="16.33203125" style="8" bestFit="1" customWidth="1"/>
    <col min="4" max="4" width="17.21875" style="8" bestFit="1" customWidth="1"/>
    <col min="5" max="5" width="21.21875" style="8" bestFit="1" customWidth="1"/>
    <col min="6" max="6" width="12" style="8" bestFit="1" customWidth="1"/>
    <col min="7" max="7" width="12.21875" style="8" bestFit="1" customWidth="1"/>
    <col min="8" max="8" width="11.44140625" style="8" bestFit="1" customWidth="1"/>
    <col min="9" max="9" width="10.77734375" style="8" bestFit="1" customWidth="1"/>
    <col min="10" max="10" width="7.21875" style="8" bestFit="1" customWidth="1"/>
    <col min="11" max="11" width="8.44140625" style="8" bestFit="1" customWidth="1"/>
    <col min="12" max="12" width="10.6640625" style="8" bestFit="1" customWidth="1"/>
    <col min="13" max="13" width="7.109375" style="8" bestFit="1" customWidth="1"/>
    <col min="14" max="14" width="8.6640625" style="8" bestFit="1" customWidth="1"/>
    <col min="15" max="16384" width="11.5546875" style="8"/>
  </cols>
  <sheetData>
    <row r="4" spans="1:14">
      <c r="F4" s="206" t="s">
        <v>83</v>
      </c>
      <c r="G4" s="206"/>
      <c r="H4" s="206"/>
      <c r="I4" s="206"/>
    </row>
    <row r="5" spans="1:14">
      <c r="A5" s="8" t="s">
        <v>9</v>
      </c>
      <c r="C5" s="8" t="s">
        <v>0</v>
      </c>
      <c r="D5" s="8" t="s">
        <v>1</v>
      </c>
      <c r="F5" s="9"/>
      <c r="G5" s="8" t="s">
        <v>68</v>
      </c>
      <c r="H5" s="8" t="s">
        <v>2</v>
      </c>
      <c r="I5" s="8" t="s">
        <v>91</v>
      </c>
      <c r="J5" s="8" t="s">
        <v>3</v>
      </c>
      <c r="K5" s="8" t="s">
        <v>4</v>
      </c>
      <c r="L5" s="8" t="s">
        <v>5</v>
      </c>
      <c r="M5" s="10" t="s">
        <v>19</v>
      </c>
      <c r="N5" s="8" t="s">
        <v>23</v>
      </c>
    </row>
    <row r="7" spans="1:14">
      <c r="A7" s="8" t="s">
        <v>89</v>
      </c>
      <c r="B7" s="8" t="s">
        <v>12</v>
      </c>
      <c r="C7" s="11">
        <v>43479</v>
      </c>
      <c r="D7" s="8" t="s">
        <v>90</v>
      </c>
      <c r="E7" s="8" t="s">
        <v>14</v>
      </c>
      <c r="F7" s="12"/>
      <c r="G7" s="12"/>
      <c r="H7" s="12">
        <f>82872*40%</f>
        <v>33148.800000000003</v>
      </c>
      <c r="I7" s="12">
        <v>33112.800000000003</v>
      </c>
      <c r="J7" s="8">
        <v>80</v>
      </c>
      <c r="K7" s="8">
        <v>3</v>
      </c>
      <c r="L7" s="12">
        <f>I7*K7/J7</f>
        <v>1241.73</v>
      </c>
      <c r="M7" s="12"/>
      <c r="N7" s="12"/>
    </row>
    <row r="8" spans="1:14">
      <c r="A8" s="8" t="s">
        <v>89</v>
      </c>
      <c r="B8" s="8" t="s">
        <v>51</v>
      </c>
      <c r="C8" s="11">
        <v>43479</v>
      </c>
      <c r="D8" s="8" t="s">
        <v>119</v>
      </c>
      <c r="E8" s="8" t="s">
        <v>14</v>
      </c>
      <c r="F8" s="12"/>
      <c r="G8" s="12"/>
      <c r="H8" s="12">
        <f>82872*40%</f>
        <v>33148.800000000003</v>
      </c>
      <c r="I8" s="12">
        <v>33112.800000000003</v>
      </c>
      <c r="J8" s="8">
        <v>80</v>
      </c>
      <c r="K8" s="8">
        <v>3</v>
      </c>
      <c r="L8" s="12">
        <f t="shared" ref="L8:L9" si="0">I8*K8/J8</f>
        <v>1241.73</v>
      </c>
      <c r="M8" s="12"/>
      <c r="N8" s="12"/>
    </row>
    <row r="9" spans="1:14">
      <c r="A9" s="8" t="s">
        <v>89</v>
      </c>
      <c r="B9" s="8" t="s">
        <v>44</v>
      </c>
      <c r="C9" s="11">
        <v>43521</v>
      </c>
      <c r="D9" s="8" t="s">
        <v>63</v>
      </c>
      <c r="E9" s="8" t="s">
        <v>14</v>
      </c>
      <c r="F9" s="12"/>
      <c r="G9" s="12"/>
      <c r="H9" s="12">
        <f>82872*20%</f>
        <v>16574.400000000001</v>
      </c>
      <c r="I9" s="12">
        <v>16556.400000000001</v>
      </c>
      <c r="J9" s="8">
        <v>80</v>
      </c>
      <c r="K9" s="8">
        <v>3</v>
      </c>
      <c r="L9" s="12">
        <f t="shared" si="0"/>
        <v>620.86500000000001</v>
      </c>
      <c r="M9" s="12"/>
      <c r="N9" s="12"/>
    </row>
    <row r="10" spans="1:14">
      <c r="C10" s="11"/>
      <c r="F10" s="12"/>
      <c r="G10" s="12"/>
      <c r="H10" s="12">
        <f>SUM(H7:H9)</f>
        <v>82872</v>
      </c>
      <c r="I10" s="12">
        <f>SUM(I7:I9)</f>
        <v>82782</v>
      </c>
      <c r="L10" s="12">
        <f>SUM(L7:L9)</f>
        <v>3104.3249999999998</v>
      </c>
      <c r="M10" s="12"/>
      <c r="N10" s="12"/>
    </row>
    <row r="11" spans="1:14">
      <c r="C11" s="11"/>
      <c r="F11" s="12"/>
      <c r="G11" s="12"/>
      <c r="H11" s="12"/>
      <c r="I11" s="12"/>
      <c r="L11" s="12"/>
      <c r="M11" s="12"/>
      <c r="N11" s="12"/>
    </row>
    <row r="12" spans="1:14">
      <c r="A12" s="8" t="s">
        <v>89</v>
      </c>
      <c r="B12" s="8" t="s">
        <v>20</v>
      </c>
      <c r="C12" s="11"/>
      <c r="F12" s="12"/>
      <c r="G12" s="12"/>
      <c r="H12" s="12"/>
      <c r="I12" s="12"/>
      <c r="L12" s="12"/>
      <c r="M12" s="12"/>
      <c r="N12" s="12"/>
    </row>
    <row r="13" spans="1:14">
      <c r="H13" s="12"/>
      <c r="I13" s="12"/>
      <c r="L13" s="12"/>
    </row>
    <row r="14" spans="1:14">
      <c r="L14" s="12"/>
    </row>
    <row r="25" spans="1:8" ht="12.6" thickBot="1">
      <c r="C25" s="9"/>
      <c r="D25" s="9"/>
      <c r="E25" s="9"/>
    </row>
    <row r="26" spans="1:8">
      <c r="B26" s="13"/>
      <c r="C26" s="14"/>
      <c r="D26" s="14"/>
      <c r="E26" s="15"/>
      <c r="F26" s="16"/>
      <c r="G26" s="13"/>
      <c r="H26" s="17"/>
    </row>
    <row r="27" spans="1:8">
      <c r="B27" s="202" t="s">
        <v>9</v>
      </c>
      <c r="C27" s="203"/>
      <c r="D27" s="203"/>
      <c r="E27" s="204"/>
      <c r="F27" s="18" t="s">
        <v>92</v>
      </c>
      <c r="G27" s="202" t="s">
        <v>93</v>
      </c>
      <c r="H27" s="205"/>
    </row>
    <row r="28" spans="1:8">
      <c r="A28" s="19" t="s">
        <v>94</v>
      </c>
      <c r="B28" s="20" t="s">
        <v>95</v>
      </c>
      <c r="C28" s="21" t="s">
        <v>96</v>
      </c>
      <c r="D28" s="21" t="s">
        <v>97</v>
      </c>
      <c r="E28" s="22" t="s">
        <v>98</v>
      </c>
      <c r="F28" s="23" t="s">
        <v>98</v>
      </c>
      <c r="G28" s="20" t="s">
        <v>99</v>
      </c>
      <c r="H28" s="22" t="s">
        <v>100</v>
      </c>
    </row>
    <row r="29" spans="1:8" ht="12.6" thickBot="1">
      <c r="B29" s="24"/>
      <c r="C29" s="25"/>
      <c r="D29" s="26">
        <v>0.2</v>
      </c>
      <c r="E29" s="27"/>
      <c r="F29" s="28"/>
      <c r="G29" s="24"/>
      <c r="H29" s="29"/>
    </row>
    <row r="30" spans="1:8" ht="12.6" thickBot="1">
      <c r="A30" s="8" t="s">
        <v>88</v>
      </c>
      <c r="B30" s="30"/>
      <c r="C30" s="31">
        <v>55785</v>
      </c>
      <c r="D30" s="31">
        <f>C30*D29</f>
        <v>11157</v>
      </c>
      <c r="E30" s="32">
        <f t="shared" ref="E30:E35" si="1">C30+D30</f>
        <v>66942</v>
      </c>
      <c r="F30" s="33">
        <v>66942</v>
      </c>
      <c r="G30" s="34">
        <f>F30-E30</f>
        <v>0</v>
      </c>
      <c r="H30" s="35">
        <f>(F30/E30)-1</f>
        <v>0</v>
      </c>
    </row>
    <row r="31" spans="1:8" ht="12.6" thickBot="1">
      <c r="A31" s="8" t="s">
        <v>101</v>
      </c>
      <c r="B31" s="36">
        <v>0.05</v>
      </c>
      <c r="C31" s="31">
        <f>C30*B31</f>
        <v>2789.25</v>
      </c>
      <c r="D31" s="31">
        <f>C31*D29</f>
        <v>557.85</v>
      </c>
      <c r="E31" s="37">
        <f t="shared" si="1"/>
        <v>3347.1</v>
      </c>
      <c r="F31" s="38">
        <v>3600</v>
      </c>
      <c r="G31" s="34">
        <f>F31-E31</f>
        <v>252.90000000000009</v>
      </c>
      <c r="H31" s="35">
        <f t="shared" ref="H31:H36" si="2">(F31/E31)-1</f>
        <v>7.5557945684323835E-2</v>
      </c>
    </row>
    <row r="32" spans="1:8" ht="12.6" thickBot="1">
      <c r="A32" s="8" t="s">
        <v>102</v>
      </c>
      <c r="B32" s="36"/>
      <c r="C32" s="31">
        <v>1375</v>
      </c>
      <c r="D32" s="31">
        <f>C32*D29</f>
        <v>275</v>
      </c>
      <c r="E32" s="37">
        <f t="shared" si="1"/>
        <v>1650</v>
      </c>
      <c r="F32" s="38">
        <v>1650</v>
      </c>
      <c r="G32" s="34">
        <f t="shared" ref="G32:G35" si="3">F32-E32</f>
        <v>0</v>
      </c>
      <c r="H32" s="35">
        <f t="shared" si="2"/>
        <v>0</v>
      </c>
    </row>
    <row r="33" spans="1:8" ht="12.6" thickBot="1">
      <c r="A33" s="8" t="s">
        <v>103</v>
      </c>
      <c r="B33" s="36">
        <v>0.09</v>
      </c>
      <c r="C33" s="31">
        <f>C30*B33</f>
        <v>5020.6499999999996</v>
      </c>
      <c r="D33" s="31">
        <f>C33*D29</f>
        <v>1004.13</v>
      </c>
      <c r="E33" s="37">
        <f t="shared" si="1"/>
        <v>6024.78</v>
      </c>
      <c r="F33" s="38">
        <v>6000</v>
      </c>
      <c r="G33" s="34">
        <f t="shared" si="3"/>
        <v>-24.779999999999745</v>
      </c>
      <c r="H33" s="35">
        <f t="shared" si="2"/>
        <v>-4.1130132552557042E-3</v>
      </c>
    </row>
    <row r="34" spans="1:8" ht="12.6" thickBot="1">
      <c r="A34" s="8" t="s">
        <v>104</v>
      </c>
      <c r="B34" s="36">
        <v>0.02</v>
      </c>
      <c r="C34" s="31">
        <f>C30*B34</f>
        <v>1115.7</v>
      </c>
      <c r="D34" s="31">
        <f>C34*D29</f>
        <v>223.14000000000001</v>
      </c>
      <c r="E34" s="37">
        <f t="shared" si="1"/>
        <v>1338.8400000000001</v>
      </c>
      <c r="F34" s="38">
        <v>2880</v>
      </c>
      <c r="G34" s="34">
        <f t="shared" si="3"/>
        <v>1541.1599999999999</v>
      </c>
      <c r="H34" s="35">
        <f t="shared" si="2"/>
        <v>1.1511158913686472</v>
      </c>
    </row>
    <row r="35" spans="1:8" ht="12.6" thickBot="1">
      <c r="A35" s="8" t="s">
        <v>105</v>
      </c>
      <c r="B35" s="36">
        <v>0.03</v>
      </c>
      <c r="C35" s="31">
        <f>C30*B35</f>
        <v>1673.55</v>
      </c>
      <c r="D35" s="31">
        <f>C35*D29</f>
        <v>334.71000000000004</v>
      </c>
      <c r="E35" s="37">
        <f t="shared" si="1"/>
        <v>2008.26</v>
      </c>
      <c r="F35" s="38">
        <v>1800</v>
      </c>
      <c r="G35" s="34">
        <f t="shared" si="3"/>
        <v>-208.26</v>
      </c>
      <c r="H35" s="35">
        <f t="shared" si="2"/>
        <v>-0.10370171192973021</v>
      </c>
    </row>
    <row r="36" spans="1:8">
      <c r="B36" s="39"/>
      <c r="C36" s="40"/>
      <c r="D36" s="40"/>
      <c r="E36" s="41">
        <f>SUM(E31:E35)</f>
        <v>14368.980000000001</v>
      </c>
      <c r="F36" s="41">
        <f>SUM(F31:F35)</f>
        <v>15930</v>
      </c>
      <c r="G36" s="40">
        <f>F36-E36</f>
        <v>1561.0199999999986</v>
      </c>
      <c r="H36" s="35">
        <f t="shared" si="2"/>
        <v>0.10863819143738795</v>
      </c>
    </row>
    <row r="37" spans="1:8" ht="12.6" thickBot="1">
      <c r="B37" s="42"/>
      <c r="C37" s="43"/>
      <c r="D37" s="43"/>
      <c r="E37" s="43"/>
      <c r="F37" s="43"/>
      <c r="G37" s="43"/>
      <c r="H37" s="44"/>
    </row>
    <row r="38" spans="1:8">
      <c r="B38" s="13"/>
      <c r="C38" s="45"/>
      <c r="D38" s="45"/>
      <c r="E38" s="46"/>
      <c r="F38" s="43"/>
      <c r="G38" s="43"/>
      <c r="H38" s="44"/>
    </row>
    <row r="39" spans="1:8">
      <c r="A39" s="19" t="s">
        <v>106</v>
      </c>
      <c r="B39" s="20" t="s">
        <v>95</v>
      </c>
      <c r="C39" s="21" t="s">
        <v>96</v>
      </c>
      <c r="D39" s="21" t="s">
        <v>97</v>
      </c>
      <c r="E39" s="22" t="s">
        <v>98</v>
      </c>
      <c r="F39" s="47"/>
      <c r="G39" s="47"/>
      <c r="H39" s="47"/>
    </row>
    <row r="40" spans="1:8" ht="12.6" thickBot="1">
      <c r="B40" s="24"/>
      <c r="C40" s="25"/>
      <c r="D40" s="26">
        <v>0.2</v>
      </c>
      <c r="E40" s="27"/>
      <c r="F40" s="47"/>
      <c r="G40" s="47"/>
      <c r="H40" s="47"/>
    </row>
    <row r="41" spans="1:8">
      <c r="A41" s="8" t="s">
        <v>9</v>
      </c>
      <c r="B41" s="48"/>
      <c r="C41" s="31">
        <f>C30</f>
        <v>55785</v>
      </c>
      <c r="D41" s="49">
        <f>C41*D29</f>
        <v>11157</v>
      </c>
      <c r="E41" s="50">
        <f>E30</f>
        <v>66942</v>
      </c>
      <c r="F41" s="47"/>
      <c r="G41" s="47"/>
      <c r="H41" s="47"/>
    </row>
    <row r="42" spans="1:8">
      <c r="A42" s="8" t="s">
        <v>107</v>
      </c>
      <c r="B42" s="48"/>
      <c r="C42" s="31">
        <f>E42/(1+D29)</f>
        <v>13275</v>
      </c>
      <c r="D42" s="49">
        <f>C42*D29</f>
        <v>2655</v>
      </c>
      <c r="E42" s="50">
        <f>F36</f>
        <v>15930</v>
      </c>
      <c r="F42" s="47"/>
      <c r="G42" s="47"/>
      <c r="H42" s="47"/>
    </row>
    <row r="43" spans="1:8">
      <c r="A43" s="8" t="s">
        <v>108</v>
      </c>
      <c r="B43" s="48"/>
      <c r="C43" s="51">
        <f>SUM(C41:C42)</f>
        <v>69060</v>
      </c>
      <c r="D43" s="51">
        <f t="shared" ref="D43:E43" si="4">SUM(D41:D42)</f>
        <v>13812</v>
      </c>
      <c r="E43" s="52">
        <f t="shared" si="4"/>
        <v>82872</v>
      </c>
      <c r="F43" s="47"/>
      <c r="G43" s="47"/>
      <c r="H43" s="47"/>
    </row>
    <row r="44" spans="1:8" ht="13.8">
      <c r="A44" s="53" t="s">
        <v>120</v>
      </c>
      <c r="B44" s="36">
        <v>0.4</v>
      </c>
      <c r="C44" s="49">
        <f>C43*B44</f>
        <v>27624</v>
      </c>
      <c r="D44" s="49">
        <f>D43*B44</f>
        <v>5524.8</v>
      </c>
      <c r="E44" s="50">
        <f>E43*B44</f>
        <v>33148.800000000003</v>
      </c>
      <c r="F44" s="47"/>
      <c r="G44" s="47"/>
      <c r="H44" s="47"/>
    </row>
    <row r="45" spans="1:8" ht="13.8">
      <c r="A45" s="53" t="s">
        <v>121</v>
      </c>
      <c r="B45" s="36">
        <v>0.4</v>
      </c>
      <c r="C45" s="49">
        <f>C43*B45</f>
        <v>27624</v>
      </c>
      <c r="D45" s="49">
        <f>D43*B45</f>
        <v>5524.8</v>
      </c>
      <c r="E45" s="50">
        <f>E43*B45</f>
        <v>33148.800000000003</v>
      </c>
      <c r="F45" s="47"/>
      <c r="G45" s="47"/>
      <c r="H45" s="47"/>
    </row>
    <row r="46" spans="1:8" ht="13.8">
      <c r="A46" s="53" t="s">
        <v>122</v>
      </c>
      <c r="B46" s="36">
        <v>0.2</v>
      </c>
      <c r="C46" s="49">
        <f>C43*B46</f>
        <v>13812</v>
      </c>
      <c r="D46" s="49">
        <f>D43*B46</f>
        <v>2762.4</v>
      </c>
      <c r="E46" s="50">
        <f>E43*B46</f>
        <v>16574.400000000001</v>
      </c>
      <c r="F46" s="47"/>
      <c r="G46" s="47"/>
      <c r="H46" s="47"/>
    </row>
    <row r="47" spans="1:8">
      <c r="A47" s="53"/>
      <c r="B47" s="54">
        <f>SUM(B44:B46)</f>
        <v>1</v>
      </c>
      <c r="C47" s="55">
        <f>SUM(C44:C46)</f>
        <v>69060</v>
      </c>
      <c r="D47" s="55">
        <f t="shared" ref="D47:E47" si="5">SUM(D44:D46)</f>
        <v>13812</v>
      </c>
      <c r="E47" s="55">
        <f t="shared" si="5"/>
        <v>82872</v>
      </c>
      <c r="F47" s="47"/>
      <c r="G47" s="47"/>
      <c r="H47" s="47"/>
    </row>
    <row r="48" spans="1:8">
      <c r="A48" s="53"/>
      <c r="B48" s="56"/>
      <c r="C48" s="57"/>
      <c r="D48" s="57"/>
      <c r="E48" s="57"/>
      <c r="F48" s="47"/>
      <c r="G48" s="47"/>
      <c r="H48" s="47"/>
    </row>
    <row r="49" spans="1:9">
      <c r="A49" s="8" t="s">
        <v>109</v>
      </c>
      <c r="B49" s="58" t="s">
        <v>110</v>
      </c>
      <c r="C49" s="59">
        <f>C$43*3/80</f>
        <v>2589.75</v>
      </c>
      <c r="D49" s="59">
        <f>D$43*3/80</f>
        <v>517.95000000000005</v>
      </c>
      <c r="E49" s="59">
        <f>E$43*3/80</f>
        <v>3107.7</v>
      </c>
      <c r="F49" s="47"/>
      <c r="G49" s="47"/>
      <c r="H49" s="47"/>
    </row>
    <row r="50" spans="1:9">
      <c r="A50" s="60" t="s">
        <v>111</v>
      </c>
      <c r="B50" s="21" t="s">
        <v>124</v>
      </c>
      <c r="C50" s="59">
        <f>C$43*50/80</f>
        <v>43162.5</v>
      </c>
      <c r="D50" s="59">
        <f>D$43*50/80</f>
        <v>8632.5</v>
      </c>
      <c r="E50" s="59">
        <f>E$43*50/80</f>
        <v>51795</v>
      </c>
      <c r="F50" s="47"/>
      <c r="G50" s="47"/>
      <c r="H50" s="47"/>
    </row>
    <row r="51" spans="1:9">
      <c r="A51" s="60" t="s">
        <v>112</v>
      </c>
      <c r="B51" s="21" t="s">
        <v>123</v>
      </c>
      <c r="C51" s="59">
        <f>C$43*27/80</f>
        <v>23307.75</v>
      </c>
      <c r="D51" s="59">
        <f>D$43*27/80</f>
        <v>4661.55</v>
      </c>
      <c r="E51" s="59">
        <f>E$43*27/80</f>
        <v>27969.3</v>
      </c>
      <c r="F51" s="47"/>
      <c r="G51" s="47"/>
      <c r="H51" s="47"/>
    </row>
    <row r="52" spans="1:9">
      <c r="A52" s="60"/>
      <c r="B52" s="47"/>
      <c r="C52" s="59">
        <f t="shared" ref="C52:E52" si="6">SUM(C49:C51)</f>
        <v>69060</v>
      </c>
      <c r="D52" s="59">
        <f t="shared" si="6"/>
        <v>13812</v>
      </c>
      <c r="E52" s="59">
        <f t="shared" si="6"/>
        <v>82872</v>
      </c>
      <c r="F52" s="47"/>
      <c r="G52" s="47"/>
      <c r="H52" s="47"/>
    </row>
    <row r="53" spans="1:9" ht="12.6" thickBot="1">
      <c r="A53" s="60"/>
      <c r="B53" s="47"/>
      <c r="C53" s="21"/>
      <c r="D53" s="21"/>
      <c r="E53" s="21"/>
      <c r="F53" s="47"/>
      <c r="G53" s="47"/>
      <c r="H53" s="47"/>
    </row>
    <row r="54" spans="1:9">
      <c r="A54" s="60"/>
      <c r="B54" s="13"/>
      <c r="C54" s="14"/>
      <c r="D54" s="14"/>
      <c r="E54" s="14"/>
      <c r="F54" s="13"/>
      <c r="G54" s="61"/>
      <c r="H54" s="61"/>
      <c r="I54" s="17"/>
    </row>
    <row r="55" spans="1:9">
      <c r="B55" s="62"/>
      <c r="C55" s="203" t="s">
        <v>113</v>
      </c>
      <c r="D55" s="203"/>
      <c r="E55" s="203"/>
      <c r="F55" s="202" t="s">
        <v>114</v>
      </c>
      <c r="G55" s="203"/>
      <c r="H55" s="203"/>
      <c r="I55" s="22" t="s">
        <v>115</v>
      </c>
    </row>
    <row r="56" spans="1:9">
      <c r="A56" s="63" t="s">
        <v>116</v>
      </c>
      <c r="B56" s="20" t="s">
        <v>95</v>
      </c>
      <c r="C56" s="21" t="s">
        <v>96</v>
      </c>
      <c r="D56" s="21" t="s">
        <v>97</v>
      </c>
      <c r="E56" s="21" t="s">
        <v>98</v>
      </c>
      <c r="F56" s="20" t="s">
        <v>96</v>
      </c>
      <c r="G56" s="21" t="s">
        <v>97</v>
      </c>
      <c r="H56" s="21" t="s">
        <v>98</v>
      </c>
      <c r="I56" s="22"/>
    </row>
    <row r="57" spans="1:9" ht="12.6" thickBot="1">
      <c r="B57" s="24"/>
      <c r="C57" s="25"/>
      <c r="D57" s="26">
        <v>0.2</v>
      </c>
      <c r="E57" s="25"/>
      <c r="F57" s="24"/>
      <c r="G57" s="25"/>
      <c r="H57" s="26">
        <v>0.2</v>
      </c>
      <c r="I57" s="27"/>
    </row>
    <row r="58" spans="1:9" ht="13.8">
      <c r="A58" s="8" t="s">
        <v>120</v>
      </c>
      <c r="B58" s="64">
        <v>0.4</v>
      </c>
      <c r="C58" s="65">
        <f>C49*B58</f>
        <v>1035.9000000000001</v>
      </c>
      <c r="D58" s="65">
        <f>D49*B58</f>
        <v>207.18000000000004</v>
      </c>
      <c r="E58" s="66">
        <f>E49*B58</f>
        <v>1243.08</v>
      </c>
      <c r="F58" s="67"/>
      <c r="G58" s="68"/>
      <c r="H58" s="69">
        <v>1241.73</v>
      </c>
      <c r="I58" s="70">
        <v>43479</v>
      </c>
    </row>
    <row r="59" spans="1:9" ht="13.8">
      <c r="A59" s="8" t="s">
        <v>121</v>
      </c>
      <c r="B59" s="71">
        <v>0.4</v>
      </c>
      <c r="C59" s="49">
        <f>C49*B59</f>
        <v>1035.9000000000001</v>
      </c>
      <c r="D59" s="49">
        <f>D49*B59</f>
        <v>207.18000000000004</v>
      </c>
      <c r="E59" s="50">
        <f>E49*B59</f>
        <v>1243.08</v>
      </c>
      <c r="F59" s="72"/>
      <c r="G59" s="73"/>
      <c r="H59" s="74">
        <v>1241.73</v>
      </c>
      <c r="I59" s="75">
        <v>43479</v>
      </c>
    </row>
    <row r="60" spans="1:9" ht="13.8">
      <c r="A60" s="8" t="s">
        <v>122</v>
      </c>
      <c r="B60" s="71">
        <v>0.2</v>
      </c>
      <c r="C60" s="49">
        <f>C49*B60</f>
        <v>517.95000000000005</v>
      </c>
      <c r="D60" s="49">
        <f>D49*B60</f>
        <v>103.59000000000002</v>
      </c>
      <c r="E60" s="50">
        <f>E49*B60</f>
        <v>621.54</v>
      </c>
      <c r="F60" s="72"/>
      <c r="G60" s="73"/>
      <c r="H60" s="74">
        <v>620.87</v>
      </c>
      <c r="I60" s="75">
        <v>43521</v>
      </c>
    </row>
    <row r="61" spans="1:9">
      <c r="A61" s="8" t="s">
        <v>117</v>
      </c>
      <c r="B61" s="9"/>
      <c r="C61" s="76">
        <f>SUM(C58:C60)</f>
        <v>2589.75</v>
      </c>
      <c r="D61" s="76">
        <f t="shared" ref="D61:E61" si="7">SUM(D58:D60)</f>
        <v>517.95000000000005</v>
      </c>
      <c r="E61" s="76">
        <f t="shared" si="7"/>
        <v>3107.7</v>
      </c>
      <c r="F61" s="12"/>
      <c r="G61" s="12"/>
      <c r="H61" s="77">
        <f>SUM(H58:H60)</f>
        <v>3104.33</v>
      </c>
    </row>
    <row r="62" spans="1:9" ht="12.6" thickBot="1">
      <c r="C62" s="9"/>
      <c r="D62" s="9"/>
      <c r="E62" s="9"/>
    </row>
    <row r="63" spans="1:9">
      <c r="B63" s="13"/>
      <c r="C63" s="14"/>
      <c r="D63" s="14"/>
      <c r="E63" s="15"/>
      <c r="F63" s="16"/>
      <c r="G63" s="13"/>
      <c r="H63" s="17"/>
    </row>
    <row r="64" spans="1:9">
      <c r="B64" s="202" t="s">
        <v>9</v>
      </c>
      <c r="C64" s="203"/>
      <c r="D64" s="203"/>
      <c r="E64" s="204"/>
      <c r="F64" s="18" t="s">
        <v>92</v>
      </c>
      <c r="G64" s="202" t="s">
        <v>93</v>
      </c>
      <c r="H64" s="205"/>
    </row>
    <row r="65" spans="1:8">
      <c r="A65" s="19" t="s">
        <v>118</v>
      </c>
      <c r="B65" s="20" t="s">
        <v>95</v>
      </c>
      <c r="C65" s="21" t="s">
        <v>96</v>
      </c>
      <c r="D65" s="21" t="s">
        <v>97</v>
      </c>
      <c r="E65" s="22" t="s">
        <v>98</v>
      </c>
      <c r="F65" s="23" t="s">
        <v>98</v>
      </c>
      <c r="G65" s="20" t="s">
        <v>99</v>
      </c>
      <c r="H65" s="22" t="s">
        <v>100</v>
      </c>
    </row>
    <row r="66" spans="1:8" ht="12.6" thickBot="1">
      <c r="B66" s="24"/>
      <c r="C66" s="25"/>
      <c r="D66" s="26">
        <v>0.2</v>
      </c>
      <c r="E66" s="27"/>
      <c r="F66" s="28"/>
      <c r="G66" s="24"/>
      <c r="H66" s="29"/>
    </row>
    <row r="67" spans="1:8" ht="12.6" thickBot="1">
      <c r="A67" s="8" t="s">
        <v>88</v>
      </c>
      <c r="B67" s="30"/>
      <c r="C67" s="31">
        <v>51221.3</v>
      </c>
      <c r="D67" s="31">
        <f>C67*D66</f>
        <v>10244.260000000002</v>
      </c>
      <c r="E67" s="32">
        <f t="shared" ref="E67:E72" si="8">C67+D67</f>
        <v>61465.560000000005</v>
      </c>
      <c r="F67" s="33">
        <v>66942</v>
      </c>
      <c r="G67" s="34">
        <f>F67-E67</f>
        <v>5476.4399999999951</v>
      </c>
      <c r="H67" s="35">
        <f>(F67/E67)-1</f>
        <v>8.9097699589818946E-2</v>
      </c>
    </row>
    <row r="68" spans="1:8" ht="12.6" thickBot="1">
      <c r="A68" s="8" t="s">
        <v>101</v>
      </c>
      <c r="B68" s="36">
        <v>0.05</v>
      </c>
      <c r="C68" s="31">
        <f>C67*B68</f>
        <v>2561.0650000000005</v>
      </c>
      <c r="D68" s="31">
        <f>C68*D66</f>
        <v>512.21300000000008</v>
      </c>
      <c r="E68" s="37">
        <f t="shared" si="8"/>
        <v>3073.2780000000007</v>
      </c>
      <c r="F68" s="38">
        <v>3600</v>
      </c>
      <c r="G68" s="34">
        <f>F68-E68</f>
        <v>526.7219999999993</v>
      </c>
      <c r="H68" s="35">
        <f>(F68/E68)-1</f>
        <v>0.17138768442034835</v>
      </c>
    </row>
    <row r="69" spans="1:8" ht="12.6" thickBot="1">
      <c r="A69" s="8" t="s">
        <v>102</v>
      </c>
      <c r="B69" s="36"/>
      <c r="C69" s="31">
        <v>1375</v>
      </c>
      <c r="D69" s="31">
        <f>C69*D66</f>
        <v>275</v>
      </c>
      <c r="E69" s="37">
        <f t="shared" si="8"/>
        <v>1650</v>
      </c>
      <c r="F69" s="38">
        <v>1650</v>
      </c>
      <c r="G69" s="34">
        <f t="shared" ref="G69:G72" si="9">F69-E69</f>
        <v>0</v>
      </c>
      <c r="H69" s="35"/>
    </row>
    <row r="70" spans="1:8" ht="12.6" thickBot="1">
      <c r="A70" s="8" t="s">
        <v>103</v>
      </c>
      <c r="B70" s="36">
        <v>0.09</v>
      </c>
      <c r="C70" s="31">
        <f>C67*B70</f>
        <v>4609.9170000000004</v>
      </c>
      <c r="D70" s="31">
        <f>C70*D66</f>
        <v>921.98340000000007</v>
      </c>
      <c r="E70" s="37">
        <f t="shared" si="8"/>
        <v>5531.9004000000004</v>
      </c>
      <c r="F70" s="38">
        <v>6000</v>
      </c>
      <c r="G70" s="34">
        <f t="shared" si="9"/>
        <v>468.09959999999955</v>
      </c>
      <c r="H70" s="35">
        <f>(F70/E70)-1</f>
        <v>8.4618226315137379E-2</v>
      </c>
    </row>
    <row r="71" spans="1:8" ht="12.6" thickBot="1">
      <c r="A71" s="8" t="s">
        <v>104</v>
      </c>
      <c r="B71" s="36">
        <v>0.02</v>
      </c>
      <c r="C71" s="31">
        <f>C67*B71</f>
        <v>1024.4260000000002</v>
      </c>
      <c r="D71" s="31">
        <f>C71*D66</f>
        <v>204.88520000000005</v>
      </c>
      <c r="E71" s="37">
        <f t="shared" si="8"/>
        <v>1229.3112000000001</v>
      </c>
      <c r="F71" s="38">
        <v>2880</v>
      </c>
      <c r="G71" s="34">
        <f t="shared" si="9"/>
        <v>1650.6887999999999</v>
      </c>
      <c r="H71" s="35">
        <f>(F71/E71)-1</f>
        <v>1.3427753688406971</v>
      </c>
    </row>
    <row r="72" spans="1:8" ht="12.6" thickBot="1">
      <c r="A72" s="8" t="s">
        <v>105</v>
      </c>
      <c r="B72" s="36">
        <v>0.03</v>
      </c>
      <c r="C72" s="31">
        <f>C67*B72</f>
        <v>1536.6390000000001</v>
      </c>
      <c r="D72" s="31">
        <f>C72*D66</f>
        <v>307.32780000000002</v>
      </c>
      <c r="E72" s="37">
        <f t="shared" si="8"/>
        <v>1843.9668000000001</v>
      </c>
      <c r="F72" s="38">
        <v>1800</v>
      </c>
      <c r="G72" s="34">
        <f t="shared" si="9"/>
        <v>-43.966800000000148</v>
      </c>
      <c r="H72" s="35">
        <f>(F72/E72)-1</f>
        <v>-2.3843596316376225E-2</v>
      </c>
    </row>
    <row r="73" spans="1:8">
      <c r="B73" s="39"/>
      <c r="C73" s="40"/>
      <c r="D73" s="40"/>
      <c r="E73" s="41">
        <f>SUM(E67:E72)</f>
        <v>74794.016399999993</v>
      </c>
      <c r="F73" s="41">
        <f>SUM(F67:F72)</f>
        <v>82872</v>
      </c>
      <c r="G73" s="40">
        <f>F73-E73</f>
        <v>8077.9836000000068</v>
      </c>
      <c r="H73" s="35">
        <f>(F73/E73)-1</f>
        <v>0.10800307282334964</v>
      </c>
    </row>
  </sheetData>
  <mergeCells count="7">
    <mergeCell ref="B64:E64"/>
    <mergeCell ref="G64:H64"/>
    <mergeCell ref="F4:I4"/>
    <mergeCell ref="B27:E27"/>
    <mergeCell ref="G27:H27"/>
    <mergeCell ref="C55:E55"/>
    <mergeCell ref="F55:H55"/>
  </mergeCells>
  <pageMargins left="0.59055118110236227" right="0.19685039370078741" top="0.74803149606299213" bottom="0.74803149606299213" header="0.31496062992125984" footer="0.31496062992125984"/>
  <pageSetup paperSize="8" orientation="landscape" r:id="rId1"/>
  <rowBreaks count="1" manualBreakCount="1">
    <brk id="52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5:M37"/>
  <sheetViews>
    <sheetView tabSelected="1" workbookViewId="0">
      <selection activeCell="K12" sqref="K12"/>
    </sheetView>
  </sheetViews>
  <sheetFormatPr baseColWidth="10" defaultRowHeight="14.4"/>
  <cols>
    <col min="1" max="1" width="19.6640625" style="141" bestFit="1" customWidth="1"/>
    <col min="2" max="2" width="15.6640625" bestFit="1" customWidth="1"/>
    <col min="3" max="3" width="13.44140625" style="163" bestFit="1" customWidth="1"/>
    <col min="4" max="4" width="16.33203125" style="118" bestFit="1" customWidth="1"/>
    <col min="5" max="5" width="9.33203125" style="166" bestFit="1" customWidth="1"/>
    <col min="6" max="6" width="11.5546875" style="166"/>
    <col min="7" max="7" width="18.33203125" style="164" bestFit="1" customWidth="1"/>
    <col min="9" max="9" width="11.5546875" style="136"/>
    <col min="10" max="10" width="11.5546875" style="138"/>
    <col min="11" max="11" width="21" customWidth="1"/>
    <col min="12" max="12" width="13.5546875" customWidth="1"/>
    <col min="13" max="13" width="12.6640625" customWidth="1"/>
  </cols>
  <sheetData>
    <row r="5" spans="1:13" ht="28.2" customHeight="1">
      <c r="A5" s="167" t="s">
        <v>192</v>
      </c>
      <c r="B5" s="167" t="s">
        <v>193</v>
      </c>
      <c r="C5" s="167" t="s">
        <v>194</v>
      </c>
      <c r="D5" s="167" t="s">
        <v>204</v>
      </c>
      <c r="E5" s="177" t="s">
        <v>98</v>
      </c>
      <c r="F5" s="177" t="s">
        <v>96</v>
      </c>
      <c r="G5" s="178" t="s">
        <v>210</v>
      </c>
      <c r="H5" s="167" t="s">
        <v>211</v>
      </c>
      <c r="I5" s="177" t="s">
        <v>212</v>
      </c>
      <c r="L5" s="169" t="s">
        <v>198</v>
      </c>
    </row>
    <row r="6" spans="1:13">
      <c r="A6" s="141" t="s">
        <v>175</v>
      </c>
      <c r="B6" s="168">
        <v>43398</v>
      </c>
      <c r="C6" s="118" t="s">
        <v>176</v>
      </c>
      <c r="E6" s="166">
        <v>2430</v>
      </c>
      <c r="F6" s="166">
        <f t="shared" ref="F6:F21" si="0">ROUND(E6/1.2,2)</f>
        <v>2025</v>
      </c>
      <c r="H6" s="184"/>
      <c r="K6" s="169" t="s">
        <v>195</v>
      </c>
      <c r="L6" s="138" t="s">
        <v>197</v>
      </c>
      <c r="M6" s="138" t="s">
        <v>199</v>
      </c>
    </row>
    <row r="7" spans="1:13">
      <c r="A7" s="141" t="s">
        <v>169</v>
      </c>
      <c r="B7" s="164">
        <v>43066</v>
      </c>
      <c r="C7" s="164" t="s">
        <v>177</v>
      </c>
      <c r="D7" s="118" t="s">
        <v>200</v>
      </c>
      <c r="E7" s="166">
        <v>1200</v>
      </c>
      <c r="F7" s="166">
        <f t="shared" si="0"/>
        <v>1000</v>
      </c>
      <c r="G7" s="164">
        <v>43074</v>
      </c>
      <c r="H7" s="184"/>
      <c r="K7" s="170" t="s">
        <v>200</v>
      </c>
      <c r="L7" s="171">
        <v>3000</v>
      </c>
      <c r="M7" s="136">
        <v>2500</v>
      </c>
    </row>
    <row r="8" spans="1:13">
      <c r="A8" s="141" t="s">
        <v>169</v>
      </c>
      <c r="B8" s="164">
        <v>43095</v>
      </c>
      <c r="C8" s="163" t="s">
        <v>178</v>
      </c>
      <c r="D8" s="118" t="s">
        <v>200</v>
      </c>
      <c r="E8" s="166">
        <v>1800</v>
      </c>
      <c r="F8" s="166">
        <f t="shared" si="0"/>
        <v>1500</v>
      </c>
      <c r="G8" s="164">
        <v>43124</v>
      </c>
      <c r="H8" s="184"/>
      <c r="K8" s="170" t="s">
        <v>184</v>
      </c>
      <c r="L8" s="176">
        <v>5531.91</v>
      </c>
      <c r="M8" s="136">
        <v>4609.92</v>
      </c>
    </row>
    <row r="9" spans="1:13">
      <c r="A9" s="141" t="s">
        <v>169</v>
      </c>
      <c r="B9" s="164">
        <v>43187</v>
      </c>
      <c r="C9" s="163" t="s">
        <v>179</v>
      </c>
      <c r="D9" s="118" t="s">
        <v>180</v>
      </c>
      <c r="E9" s="166">
        <v>1248</v>
      </c>
      <c r="F9" s="166">
        <f t="shared" si="0"/>
        <v>1040</v>
      </c>
      <c r="H9" s="184"/>
      <c r="K9" s="170" t="s">
        <v>203</v>
      </c>
      <c r="L9" s="171">
        <v>57093.19</v>
      </c>
      <c r="M9" s="136">
        <v>47577.67</v>
      </c>
    </row>
    <row r="10" spans="1:13">
      <c r="A10" s="141" t="s">
        <v>169</v>
      </c>
      <c r="B10" s="164">
        <v>43220</v>
      </c>
      <c r="C10" s="163" t="s">
        <v>181</v>
      </c>
      <c r="D10" s="118" t="s">
        <v>180</v>
      </c>
      <c r="E10" s="166">
        <v>1296</v>
      </c>
      <c r="F10" s="166">
        <f t="shared" si="0"/>
        <v>1080</v>
      </c>
      <c r="G10" s="164">
        <v>43307</v>
      </c>
      <c r="H10" s="185">
        <v>43307</v>
      </c>
      <c r="I10" s="136">
        <v>1296</v>
      </c>
      <c r="K10" s="170" t="s">
        <v>187</v>
      </c>
      <c r="L10" s="176">
        <v>1440</v>
      </c>
      <c r="M10" s="136">
        <v>1200</v>
      </c>
    </row>
    <row r="11" spans="1:13">
      <c r="A11" s="141" t="s">
        <v>169</v>
      </c>
      <c r="B11" s="164">
        <v>43251</v>
      </c>
      <c r="C11" s="163" t="s">
        <v>182</v>
      </c>
      <c r="D11" s="118" t="s">
        <v>180</v>
      </c>
      <c r="E11" s="166">
        <v>576</v>
      </c>
      <c r="F11" s="166">
        <f t="shared" si="0"/>
        <v>480</v>
      </c>
      <c r="G11" s="164">
        <v>43510</v>
      </c>
      <c r="H11" s="185">
        <v>43510</v>
      </c>
      <c r="I11" s="136">
        <v>576</v>
      </c>
      <c r="K11" s="170" t="s">
        <v>180</v>
      </c>
      <c r="L11" s="171">
        <v>3120</v>
      </c>
      <c r="M11" s="136">
        <v>2600</v>
      </c>
    </row>
    <row r="12" spans="1:13">
      <c r="A12" s="141" t="s">
        <v>169</v>
      </c>
      <c r="B12" s="164">
        <v>43396</v>
      </c>
      <c r="C12" s="163" t="s">
        <v>183</v>
      </c>
      <c r="D12" s="118" t="s">
        <v>184</v>
      </c>
      <c r="E12" s="166">
        <v>2212.7600000000002</v>
      </c>
      <c r="F12" s="166">
        <f t="shared" si="0"/>
        <v>1843.97</v>
      </c>
      <c r="G12" s="164">
        <v>43553</v>
      </c>
      <c r="H12" s="185">
        <v>43553</v>
      </c>
      <c r="I12" s="136">
        <v>2212.7600000000002</v>
      </c>
      <c r="K12" s="170" t="s">
        <v>209</v>
      </c>
      <c r="L12" s="176">
        <v>2304</v>
      </c>
      <c r="M12" s="136">
        <v>1920</v>
      </c>
    </row>
    <row r="13" spans="1:13">
      <c r="A13" s="141" t="s">
        <v>169</v>
      </c>
      <c r="B13" s="164">
        <v>43550</v>
      </c>
      <c r="C13" s="163" t="s">
        <v>188</v>
      </c>
      <c r="D13" s="118" t="s">
        <v>184</v>
      </c>
      <c r="E13" s="166">
        <v>1106.3800000000001</v>
      </c>
      <c r="F13" s="166">
        <f t="shared" si="0"/>
        <v>921.98</v>
      </c>
      <c r="H13" s="185">
        <v>43599</v>
      </c>
      <c r="I13" s="136">
        <v>1106.3800000000001</v>
      </c>
      <c r="K13" s="170" t="s">
        <v>214</v>
      </c>
      <c r="L13" s="171">
        <v>2430</v>
      </c>
      <c r="M13" s="136">
        <v>2025</v>
      </c>
    </row>
    <row r="14" spans="1:13">
      <c r="A14" s="141" t="s">
        <v>169</v>
      </c>
      <c r="B14" s="164">
        <v>43608</v>
      </c>
      <c r="C14" s="163" t="s">
        <v>185</v>
      </c>
      <c r="D14" s="118" t="s">
        <v>184</v>
      </c>
      <c r="E14" s="166">
        <v>829.79</v>
      </c>
      <c r="F14" s="166">
        <f t="shared" si="0"/>
        <v>691.49</v>
      </c>
      <c r="H14" s="185">
        <v>43629</v>
      </c>
      <c r="I14" s="136">
        <v>829.79</v>
      </c>
      <c r="K14" s="170" t="s">
        <v>213</v>
      </c>
      <c r="L14" s="171"/>
      <c r="M14" s="136"/>
    </row>
    <row r="15" spans="1:13">
      <c r="A15" s="175" t="s">
        <v>169</v>
      </c>
      <c r="B15" s="173">
        <v>43636</v>
      </c>
      <c r="C15" s="172" t="s">
        <v>186</v>
      </c>
      <c r="D15" s="174" t="s">
        <v>187</v>
      </c>
      <c r="E15" s="166">
        <v>576</v>
      </c>
      <c r="F15" s="166">
        <f t="shared" si="0"/>
        <v>480</v>
      </c>
      <c r="H15" s="185">
        <v>43754</v>
      </c>
      <c r="I15" s="136">
        <v>576</v>
      </c>
      <c r="K15" s="186" t="s">
        <v>201</v>
      </c>
      <c r="L15" s="171">
        <v>1299.0899999999999</v>
      </c>
      <c r="M15" s="136">
        <v>1299.0899999999999</v>
      </c>
    </row>
    <row r="16" spans="1:13">
      <c r="A16" s="141" t="s">
        <v>169</v>
      </c>
      <c r="B16" s="164">
        <v>43669</v>
      </c>
      <c r="C16" s="163" t="s">
        <v>189</v>
      </c>
      <c r="D16" s="118" t="s">
        <v>184</v>
      </c>
      <c r="E16" s="166">
        <v>1382.98</v>
      </c>
      <c r="F16" s="166">
        <f t="shared" si="0"/>
        <v>1152.48</v>
      </c>
      <c r="G16" s="164">
        <v>44123</v>
      </c>
      <c r="H16" s="185">
        <v>44123</v>
      </c>
      <c r="I16" s="136">
        <v>1382.98</v>
      </c>
      <c r="K16" s="187">
        <v>43676</v>
      </c>
      <c r="L16" s="171">
        <v>1299.0899999999999</v>
      </c>
      <c r="M16" s="136">
        <v>1299.0899999999999</v>
      </c>
    </row>
    <row r="17" spans="1:13">
      <c r="A17" s="175" t="s">
        <v>169</v>
      </c>
      <c r="B17" s="173">
        <v>43669</v>
      </c>
      <c r="C17" s="172" t="s">
        <v>190</v>
      </c>
      <c r="D17" s="174" t="s">
        <v>187</v>
      </c>
      <c r="E17" s="166">
        <v>288</v>
      </c>
      <c r="F17" s="166">
        <f t="shared" si="0"/>
        <v>240</v>
      </c>
      <c r="G17" s="164">
        <v>44123</v>
      </c>
      <c r="H17" s="185">
        <v>44123</v>
      </c>
      <c r="I17" s="136">
        <v>288</v>
      </c>
      <c r="K17" s="188" t="s">
        <v>206</v>
      </c>
      <c r="L17" s="171">
        <v>1299.0899999999999</v>
      </c>
      <c r="M17" s="136">
        <v>1299.0899999999999</v>
      </c>
    </row>
    <row r="18" spans="1:13">
      <c r="A18" s="175" t="s">
        <v>169</v>
      </c>
      <c r="B18" s="173">
        <v>43707</v>
      </c>
      <c r="C18" s="172" t="s">
        <v>191</v>
      </c>
      <c r="D18" s="174" t="s">
        <v>187</v>
      </c>
      <c r="E18" s="166">
        <v>576</v>
      </c>
      <c r="F18" s="166">
        <f t="shared" si="0"/>
        <v>480</v>
      </c>
      <c r="G18" s="164">
        <v>44123</v>
      </c>
      <c r="H18" s="185">
        <v>44123</v>
      </c>
      <c r="I18" s="136">
        <v>576</v>
      </c>
      <c r="K18" s="170" t="s">
        <v>196</v>
      </c>
      <c r="L18" s="171">
        <v>76218.19</v>
      </c>
      <c r="M18" s="136">
        <v>63731.679999999993</v>
      </c>
    </row>
    <row r="19" spans="1:13">
      <c r="A19" s="172" t="s">
        <v>201</v>
      </c>
      <c r="B19" s="173">
        <v>43585</v>
      </c>
      <c r="C19" s="172" t="s">
        <v>202</v>
      </c>
      <c r="D19" s="174" t="s">
        <v>203</v>
      </c>
      <c r="E19" s="166">
        <v>24586.22</v>
      </c>
      <c r="F19" s="166">
        <f t="shared" si="0"/>
        <v>20488.52</v>
      </c>
      <c r="H19" s="185">
        <v>43620</v>
      </c>
      <c r="I19" s="136">
        <v>24586.22</v>
      </c>
    </row>
    <row r="20" spans="1:13">
      <c r="A20" s="172" t="s">
        <v>201</v>
      </c>
      <c r="B20" s="173">
        <v>43615</v>
      </c>
      <c r="C20" s="172" t="s">
        <v>205</v>
      </c>
      <c r="D20" s="174" t="s">
        <v>203</v>
      </c>
      <c r="E20" s="166">
        <v>23093.15</v>
      </c>
      <c r="F20" s="166">
        <f t="shared" si="0"/>
        <v>19244.29</v>
      </c>
      <c r="H20" s="185">
        <v>43629</v>
      </c>
      <c r="I20" s="136">
        <v>23093.15</v>
      </c>
    </row>
    <row r="21" spans="1:13">
      <c r="A21" s="172" t="s">
        <v>201</v>
      </c>
      <c r="B21" s="173">
        <v>43676</v>
      </c>
      <c r="C21" s="172" t="s">
        <v>206</v>
      </c>
      <c r="D21" s="174" t="s">
        <v>203</v>
      </c>
      <c r="E21" s="166">
        <v>6495.45</v>
      </c>
      <c r="F21" s="166">
        <f t="shared" si="0"/>
        <v>5412.88</v>
      </c>
      <c r="H21" s="185">
        <v>43754</v>
      </c>
      <c r="I21" s="136">
        <v>6495.45</v>
      </c>
    </row>
    <row r="22" spans="1:13" s="138" customFormat="1">
      <c r="A22" s="172" t="s">
        <v>201</v>
      </c>
      <c r="B22" s="173">
        <v>43676</v>
      </c>
      <c r="C22" s="172" t="s">
        <v>206</v>
      </c>
      <c r="D22" s="174" t="s">
        <v>213</v>
      </c>
      <c r="E22" s="166">
        <v>1299.0899999999999</v>
      </c>
      <c r="F22" s="166">
        <v>1299.0899999999999</v>
      </c>
      <c r="G22" s="164"/>
      <c r="H22" s="185">
        <v>43837</v>
      </c>
      <c r="I22" s="136">
        <v>1299.0899999999999</v>
      </c>
      <c r="K22"/>
      <c r="L22"/>
      <c r="M22"/>
    </row>
    <row r="23" spans="1:13">
      <c r="A23" s="181" t="s">
        <v>201</v>
      </c>
      <c r="B23" s="182">
        <v>43890</v>
      </c>
      <c r="C23" s="181" t="s">
        <v>207</v>
      </c>
      <c r="D23" s="183" t="s">
        <v>203</v>
      </c>
      <c r="E23" s="166">
        <v>2918.37</v>
      </c>
      <c r="F23" s="166">
        <f>ROUND(E23/1.2,2)</f>
        <v>2431.98</v>
      </c>
      <c r="H23" s="184"/>
    </row>
    <row r="24" spans="1:13" s="138" customFormat="1">
      <c r="A24" s="181" t="s">
        <v>201</v>
      </c>
      <c r="B24" s="182">
        <v>43890</v>
      </c>
      <c r="C24" s="181" t="s">
        <v>207</v>
      </c>
      <c r="D24" s="183"/>
      <c r="E24" s="180"/>
      <c r="F24" s="180">
        <f>ROUND(E24/1.2,2)</f>
        <v>0</v>
      </c>
      <c r="G24" s="179"/>
      <c r="H24" s="185">
        <v>44139</v>
      </c>
      <c r="I24" s="136">
        <v>5991.65</v>
      </c>
      <c r="K24"/>
      <c r="L24"/>
      <c r="M24"/>
    </row>
    <row r="25" spans="1:13">
      <c r="A25" s="172" t="s">
        <v>208</v>
      </c>
      <c r="B25" s="173">
        <v>43503</v>
      </c>
      <c r="C25" s="172">
        <v>19217975</v>
      </c>
      <c r="D25" s="174" t="s">
        <v>209</v>
      </c>
      <c r="E25" s="166">
        <v>1152</v>
      </c>
      <c r="F25" s="166">
        <f>ROUND(E25/1.2,2)</f>
        <v>960</v>
      </c>
      <c r="H25" s="185">
        <v>43553</v>
      </c>
      <c r="I25" s="136">
        <v>1152</v>
      </c>
    </row>
    <row r="26" spans="1:13">
      <c r="A26" s="172" t="s">
        <v>208</v>
      </c>
      <c r="B26" s="173">
        <v>43735</v>
      </c>
      <c r="C26" s="172">
        <v>19330132</v>
      </c>
      <c r="D26" s="174" t="s">
        <v>209</v>
      </c>
      <c r="E26" s="166">
        <v>1152</v>
      </c>
      <c r="F26" s="166">
        <f>ROUND(E26/1.2,2)</f>
        <v>960</v>
      </c>
      <c r="H26" s="185">
        <v>44104</v>
      </c>
      <c r="I26" s="136">
        <v>1152</v>
      </c>
    </row>
    <row r="28" spans="1:13">
      <c r="E28" s="136">
        <f>SUM(E6:E26)</f>
        <v>76218.19</v>
      </c>
      <c r="I28" s="136">
        <f>SUM(I6:I26)</f>
        <v>72613.47</v>
      </c>
    </row>
    <row r="31" spans="1:13">
      <c r="B31" s="189">
        <v>24586.22</v>
      </c>
      <c r="C31" s="165">
        <v>61465.56</v>
      </c>
      <c r="D31" s="165">
        <v>58392.28</v>
      </c>
      <c r="F31" s="166">
        <v>76218.19</v>
      </c>
    </row>
    <row r="32" spans="1:13">
      <c r="B32" s="189">
        <v>23093.15</v>
      </c>
      <c r="C32" s="165">
        <v>2430</v>
      </c>
      <c r="D32" s="165">
        <v>2430</v>
      </c>
      <c r="F32" s="166">
        <v>74971.47</v>
      </c>
    </row>
    <row r="33" spans="2:6">
      <c r="B33" s="189">
        <v>6495.45</v>
      </c>
      <c r="C33" s="165">
        <v>1440</v>
      </c>
      <c r="D33" s="165">
        <v>1440</v>
      </c>
      <c r="F33" s="166">
        <f>F31-F32</f>
        <v>1246.7200000000012</v>
      </c>
    </row>
    <row r="34" spans="2:6">
      <c r="B34" s="189">
        <v>1299.0899999999999</v>
      </c>
      <c r="C34" s="165">
        <v>1800</v>
      </c>
      <c r="D34" s="165">
        <v>1800</v>
      </c>
    </row>
    <row r="35" spans="2:6">
      <c r="B35" s="189"/>
      <c r="C35" s="165">
        <v>5531.91</v>
      </c>
      <c r="D35" s="165">
        <v>5531.91</v>
      </c>
    </row>
    <row r="36" spans="2:6">
      <c r="B36" s="189">
        <v>5991.65</v>
      </c>
      <c r="C36" s="165">
        <v>2304</v>
      </c>
      <c r="D36" s="165">
        <v>2304</v>
      </c>
    </row>
    <row r="37" spans="2:6">
      <c r="B37" s="189">
        <f>SUM(B31:B36)</f>
        <v>61465.56</v>
      </c>
      <c r="C37" s="165">
        <f>SUM(C31:C36)</f>
        <v>74971.47</v>
      </c>
      <c r="D37" s="165">
        <f>SUM(D31:D36)</f>
        <v>71898.19</v>
      </c>
    </row>
  </sheetData>
  <autoFilter ref="A5:I5"/>
  <sortState ref="A6:G24">
    <sortCondition ref="A6:A24"/>
    <sortCondition ref="B6:B24"/>
  </sortState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L32"/>
  <sheetViews>
    <sheetView topLeftCell="A7" workbookViewId="0">
      <selection activeCell="I32" sqref="I32"/>
    </sheetView>
  </sheetViews>
  <sheetFormatPr baseColWidth="10" defaultRowHeight="14.4"/>
  <cols>
    <col min="1" max="1" width="26.88671875" bestFit="1" customWidth="1"/>
    <col min="2" max="2" width="22.88671875" bestFit="1" customWidth="1"/>
    <col min="3" max="3" width="19.88671875" bestFit="1" customWidth="1"/>
    <col min="4" max="4" width="22.21875" bestFit="1" customWidth="1"/>
    <col min="5" max="5" width="25" bestFit="1" customWidth="1"/>
    <col min="6" max="6" width="13.21875" bestFit="1" customWidth="1"/>
    <col min="7" max="7" width="8.44140625" bestFit="1" customWidth="1"/>
    <col min="8" max="8" width="9.44140625" bestFit="1" customWidth="1"/>
    <col min="9" max="9" width="12.77734375" bestFit="1" customWidth="1"/>
    <col min="10" max="10" width="8.44140625" bestFit="1" customWidth="1"/>
    <col min="11" max="11" width="10.44140625" bestFit="1" customWidth="1"/>
  </cols>
  <sheetData>
    <row r="3" spans="1:11">
      <c r="G3" s="190" t="s">
        <v>6</v>
      </c>
      <c r="H3" s="190"/>
    </row>
    <row r="5" spans="1:11">
      <c r="A5" t="s">
        <v>9</v>
      </c>
      <c r="C5" t="s">
        <v>0</v>
      </c>
      <c r="D5" t="s">
        <v>1</v>
      </c>
      <c r="F5" t="s">
        <v>2</v>
      </c>
      <c r="G5" t="s">
        <v>3</v>
      </c>
      <c r="H5" t="s">
        <v>4</v>
      </c>
      <c r="I5" t="s">
        <v>5</v>
      </c>
      <c r="J5" t="s">
        <v>19</v>
      </c>
      <c r="K5" t="s">
        <v>23</v>
      </c>
    </row>
    <row r="7" spans="1:11">
      <c r="C7" s="1"/>
      <c r="F7" s="2"/>
      <c r="I7" s="2"/>
      <c r="J7" s="2"/>
      <c r="K7" s="2"/>
    </row>
    <row r="8" spans="1:11">
      <c r="A8" t="s">
        <v>26</v>
      </c>
      <c r="B8" t="s">
        <v>12</v>
      </c>
      <c r="C8" s="1">
        <v>42726</v>
      </c>
      <c r="D8" t="s">
        <v>50</v>
      </c>
      <c r="E8" t="s">
        <v>22</v>
      </c>
      <c r="F8" s="2">
        <v>6097.5</v>
      </c>
      <c r="G8">
        <v>100</v>
      </c>
      <c r="H8">
        <v>31</v>
      </c>
      <c r="I8" s="2">
        <v>1890.24</v>
      </c>
      <c r="J8" s="2"/>
      <c r="K8" s="2"/>
    </row>
    <row r="9" spans="1:11">
      <c r="A9" t="s">
        <v>26</v>
      </c>
      <c r="B9" t="s">
        <v>12</v>
      </c>
      <c r="C9" s="1">
        <v>42726</v>
      </c>
      <c r="D9" t="s">
        <v>50</v>
      </c>
      <c r="E9" t="s">
        <v>24</v>
      </c>
      <c r="F9" s="2">
        <v>1377.5</v>
      </c>
      <c r="G9">
        <v>100</v>
      </c>
      <c r="H9">
        <v>31</v>
      </c>
      <c r="I9" s="2">
        <v>427.02</v>
      </c>
      <c r="J9" s="2"/>
      <c r="K9" s="2"/>
    </row>
    <row r="10" spans="1:11">
      <c r="A10" t="s">
        <v>26</v>
      </c>
      <c r="B10" t="s">
        <v>12</v>
      </c>
      <c r="C10" s="1">
        <v>42726</v>
      </c>
      <c r="D10" t="s">
        <v>50</v>
      </c>
      <c r="E10" t="s">
        <v>25</v>
      </c>
      <c r="F10" s="2">
        <v>1025</v>
      </c>
      <c r="G10">
        <v>100</v>
      </c>
      <c r="H10">
        <v>4</v>
      </c>
      <c r="I10" s="2">
        <v>41</v>
      </c>
      <c r="J10" s="2"/>
      <c r="K10" s="2"/>
    </row>
    <row r="11" spans="1:11">
      <c r="A11" t="s">
        <v>26</v>
      </c>
      <c r="B11" t="s">
        <v>51</v>
      </c>
      <c r="C11" s="1">
        <v>42816</v>
      </c>
      <c r="D11" t="s">
        <v>52</v>
      </c>
      <c r="E11" t="s">
        <v>22</v>
      </c>
      <c r="F11" s="2">
        <v>6097.5</v>
      </c>
      <c r="G11">
        <v>100</v>
      </c>
      <c r="H11">
        <v>31</v>
      </c>
      <c r="I11" s="2">
        <v>1890.24</v>
      </c>
      <c r="J11" s="2"/>
      <c r="K11" s="2"/>
    </row>
    <row r="12" spans="1:11">
      <c r="A12" t="s">
        <v>26</v>
      </c>
      <c r="B12" t="s">
        <v>51</v>
      </c>
      <c r="C12" s="1">
        <v>42816</v>
      </c>
      <c r="D12" t="s">
        <v>52</v>
      </c>
      <c r="E12" t="s">
        <v>24</v>
      </c>
      <c r="F12" s="2">
        <v>1377.5</v>
      </c>
      <c r="G12">
        <v>100</v>
      </c>
      <c r="H12">
        <v>31</v>
      </c>
      <c r="I12" s="2">
        <v>427.02</v>
      </c>
      <c r="J12" s="2"/>
      <c r="K12" s="2"/>
    </row>
    <row r="13" spans="1:11">
      <c r="A13" t="s">
        <v>26</v>
      </c>
      <c r="B13" t="s">
        <v>51</v>
      </c>
      <c r="C13" s="1">
        <v>42816</v>
      </c>
      <c r="D13" t="s">
        <v>52</v>
      </c>
      <c r="E13" t="s">
        <v>25</v>
      </c>
      <c r="F13" s="2">
        <v>1025</v>
      </c>
      <c r="G13">
        <v>100</v>
      </c>
      <c r="H13">
        <v>4</v>
      </c>
      <c r="I13" s="2">
        <v>41</v>
      </c>
      <c r="J13" s="2"/>
      <c r="K13" s="2"/>
    </row>
    <row r="14" spans="1:11">
      <c r="A14" t="s">
        <v>26</v>
      </c>
      <c r="B14" t="s">
        <v>44</v>
      </c>
      <c r="C14" s="1">
        <v>43276</v>
      </c>
      <c r="D14" t="s">
        <v>54</v>
      </c>
      <c r="F14" s="2">
        <v>6097.47</v>
      </c>
      <c r="G14">
        <v>100</v>
      </c>
      <c r="H14">
        <v>31</v>
      </c>
      <c r="I14" s="2">
        <v>1890.21</v>
      </c>
      <c r="J14" s="2"/>
      <c r="K14" s="2">
        <f>I14+I15+I16</f>
        <v>2358.23</v>
      </c>
    </row>
    <row r="15" spans="1:11">
      <c r="A15" t="s">
        <v>26</v>
      </c>
      <c r="B15" t="s">
        <v>44</v>
      </c>
      <c r="C15" s="1">
        <v>43276</v>
      </c>
      <c r="D15" t="s">
        <v>54</v>
      </c>
      <c r="F15" s="2">
        <v>1377.5</v>
      </c>
      <c r="G15">
        <v>100</v>
      </c>
      <c r="H15">
        <v>31</v>
      </c>
      <c r="I15" s="2">
        <v>427.02</v>
      </c>
      <c r="J15" s="2"/>
      <c r="K15" s="2"/>
    </row>
    <row r="16" spans="1:11">
      <c r="A16" t="s">
        <v>26</v>
      </c>
      <c r="B16" t="s">
        <v>44</v>
      </c>
      <c r="C16" s="1">
        <v>43276</v>
      </c>
      <c r="D16" t="s">
        <v>54</v>
      </c>
      <c r="F16" s="2">
        <v>1025</v>
      </c>
      <c r="G16">
        <v>100</v>
      </c>
      <c r="H16">
        <v>4</v>
      </c>
      <c r="I16" s="2">
        <v>41</v>
      </c>
      <c r="J16" s="2"/>
      <c r="K16" s="2"/>
    </row>
    <row r="17" spans="1:12">
      <c r="A17" t="s">
        <v>26</v>
      </c>
      <c r="B17" t="s">
        <v>40</v>
      </c>
      <c r="C17" s="1">
        <v>42997</v>
      </c>
      <c r="D17" t="s">
        <v>39</v>
      </c>
      <c r="E17" t="s">
        <v>22</v>
      </c>
      <c r="F17" s="2">
        <v>6097.47</v>
      </c>
      <c r="G17">
        <v>100</v>
      </c>
      <c r="H17">
        <v>31</v>
      </c>
      <c r="I17" s="2">
        <v>1890.21</v>
      </c>
      <c r="J17" s="2"/>
      <c r="K17" s="2"/>
    </row>
    <row r="18" spans="1:12">
      <c r="A18" t="s">
        <v>26</v>
      </c>
      <c r="B18" t="s">
        <v>40</v>
      </c>
      <c r="C18" s="1">
        <v>42997</v>
      </c>
      <c r="D18" t="s">
        <v>39</v>
      </c>
      <c r="E18" t="s">
        <v>24</v>
      </c>
      <c r="F18" s="2">
        <v>1377.5</v>
      </c>
      <c r="G18">
        <v>100</v>
      </c>
      <c r="H18">
        <v>31</v>
      </c>
      <c r="I18" s="2">
        <v>427.02</v>
      </c>
      <c r="J18" s="2"/>
      <c r="K18" s="2"/>
    </row>
    <row r="19" spans="1:12">
      <c r="A19" t="s">
        <v>26</v>
      </c>
      <c r="B19" t="s">
        <v>40</v>
      </c>
      <c r="C19" s="1">
        <v>42997</v>
      </c>
      <c r="D19" t="s">
        <v>39</v>
      </c>
      <c r="E19" t="s">
        <v>25</v>
      </c>
      <c r="F19" s="2">
        <v>1025</v>
      </c>
      <c r="G19">
        <v>100</v>
      </c>
      <c r="H19">
        <v>4</v>
      </c>
      <c r="I19" s="2">
        <v>41</v>
      </c>
      <c r="J19" s="2"/>
      <c r="K19" s="2"/>
      <c r="L19" s="2"/>
    </row>
    <row r="20" spans="1:12">
      <c r="A20" t="s">
        <v>35</v>
      </c>
      <c r="B20" t="s">
        <v>55</v>
      </c>
      <c r="C20" s="1"/>
      <c r="F20" s="2">
        <f>SUM(F8:F19)</f>
        <v>33999.94</v>
      </c>
      <c r="I20" s="2">
        <f>SUM(I8:I19)</f>
        <v>9432.98</v>
      </c>
      <c r="J20" s="2"/>
      <c r="K20" s="2"/>
    </row>
    <row r="21" spans="1:12">
      <c r="C21" s="1"/>
      <c r="F21" s="2"/>
      <c r="I21" s="2"/>
      <c r="J21" s="2"/>
      <c r="K21" s="2"/>
    </row>
    <row r="22" spans="1:12">
      <c r="A22" t="s">
        <v>21</v>
      </c>
      <c r="B22" t="s">
        <v>20</v>
      </c>
      <c r="C22" s="1">
        <v>43308</v>
      </c>
      <c r="D22" t="s">
        <v>60</v>
      </c>
      <c r="F22" s="2"/>
      <c r="I22" s="2">
        <v>-9432.98</v>
      </c>
      <c r="J22" s="2"/>
      <c r="K22" s="2"/>
    </row>
    <row r="23" spans="1:12">
      <c r="A23" t="s">
        <v>21</v>
      </c>
      <c r="C23" s="1">
        <v>43308</v>
      </c>
      <c r="D23" t="s">
        <v>60</v>
      </c>
      <c r="E23" t="s">
        <v>22</v>
      </c>
      <c r="F23" s="2">
        <v>23072.16</v>
      </c>
      <c r="G23">
        <v>100</v>
      </c>
      <c r="H23">
        <v>31</v>
      </c>
      <c r="I23" s="2">
        <v>7152.37</v>
      </c>
      <c r="J23" s="2">
        <v>712.98</v>
      </c>
      <c r="K23" s="2">
        <v>1139</v>
      </c>
    </row>
    <row r="24" spans="1:12">
      <c r="A24" t="s">
        <v>21</v>
      </c>
      <c r="C24" s="1">
        <v>43308</v>
      </c>
      <c r="D24" t="s">
        <v>60</v>
      </c>
      <c r="E24" t="s">
        <v>24</v>
      </c>
      <c r="F24" s="2">
        <v>6970.53</v>
      </c>
      <c r="G24">
        <v>100</v>
      </c>
      <c r="H24">
        <v>31</v>
      </c>
      <c r="I24" s="2">
        <v>2160.87</v>
      </c>
      <c r="J24" s="2">
        <v>263.51</v>
      </c>
      <c r="K24" s="2">
        <v>1863.48</v>
      </c>
    </row>
    <row r="25" spans="1:12">
      <c r="A25" t="s">
        <v>21</v>
      </c>
      <c r="C25" s="1">
        <v>43308</v>
      </c>
      <c r="D25" t="s">
        <v>60</v>
      </c>
      <c r="E25" t="s">
        <v>25</v>
      </c>
      <c r="F25" s="2">
        <v>5612.2</v>
      </c>
      <c r="G25">
        <v>100</v>
      </c>
      <c r="H25">
        <v>4</v>
      </c>
      <c r="I25" s="2">
        <v>224.49</v>
      </c>
      <c r="J25" s="2">
        <v>28.42</v>
      </c>
      <c r="K25" s="2">
        <v>80.47</v>
      </c>
    </row>
    <row r="26" spans="1:12">
      <c r="A26" t="s">
        <v>35</v>
      </c>
      <c r="B26" t="s">
        <v>21</v>
      </c>
      <c r="F26" s="2">
        <f>SUM(F23:F25)</f>
        <v>35654.89</v>
      </c>
      <c r="I26" s="2">
        <f>SUM(I23:I25)</f>
        <v>9537.73</v>
      </c>
      <c r="J26" s="2">
        <f>SUM(J23:J25)</f>
        <v>1004.91</v>
      </c>
      <c r="K26" s="2">
        <f>SUM(K23:K25)</f>
        <v>3082.95</v>
      </c>
    </row>
    <row r="28" spans="1:12">
      <c r="A28" t="s">
        <v>37</v>
      </c>
      <c r="B28" t="s">
        <v>61</v>
      </c>
      <c r="E28" t="s">
        <v>84</v>
      </c>
      <c r="F28" s="3">
        <f>F20-F26</f>
        <v>-1654.9499999999971</v>
      </c>
      <c r="I28" s="3">
        <f>I20-I26</f>
        <v>-104.75</v>
      </c>
      <c r="J28" s="2"/>
    </row>
    <row r="30" spans="1:12">
      <c r="A30" t="s">
        <v>76</v>
      </c>
      <c r="B30" t="s">
        <v>28</v>
      </c>
      <c r="C30" s="1">
        <v>43370</v>
      </c>
      <c r="D30" t="s">
        <v>56</v>
      </c>
      <c r="I30">
        <v>104.75</v>
      </c>
    </row>
    <row r="32" spans="1:12">
      <c r="A32" t="s">
        <v>79</v>
      </c>
      <c r="C32" s="1">
        <v>43370</v>
      </c>
      <c r="I32" s="91">
        <f>I30+I28</f>
        <v>0</v>
      </c>
    </row>
  </sheetData>
  <mergeCells count="1">
    <mergeCell ref="G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8"/>
  <sheetViews>
    <sheetView topLeftCell="A7" workbookViewId="0">
      <selection activeCell="C42" sqref="C42"/>
    </sheetView>
  </sheetViews>
  <sheetFormatPr baseColWidth="10" defaultRowHeight="14.4"/>
  <cols>
    <col min="1" max="1" width="26.88671875" bestFit="1" customWidth="1"/>
    <col min="2" max="2" width="22.88671875" bestFit="1" customWidth="1"/>
    <col min="3" max="3" width="19.88671875" bestFit="1" customWidth="1"/>
    <col min="4" max="4" width="22.21875" bestFit="1" customWidth="1"/>
    <col min="5" max="5" width="25" bestFit="1" customWidth="1"/>
    <col min="6" max="6" width="13.21875" bestFit="1" customWidth="1"/>
    <col min="7" max="7" width="8.44140625" bestFit="1" customWidth="1"/>
    <col min="8" max="8" width="9.44140625" bestFit="1" customWidth="1"/>
    <col min="9" max="9" width="12.77734375" bestFit="1" customWidth="1"/>
    <col min="10" max="10" width="8.44140625" bestFit="1" customWidth="1"/>
    <col min="11" max="11" width="10.44140625" bestFit="1" customWidth="1"/>
  </cols>
  <sheetData>
    <row r="3" spans="1:11">
      <c r="G3" s="190" t="s">
        <v>6</v>
      </c>
      <c r="H3" s="190"/>
    </row>
    <row r="5" spans="1:11">
      <c r="A5" t="s">
        <v>9</v>
      </c>
      <c r="C5" t="s">
        <v>0</v>
      </c>
      <c r="D5" t="s">
        <v>1</v>
      </c>
      <c r="F5" t="s">
        <v>2</v>
      </c>
      <c r="G5" t="s">
        <v>3</v>
      </c>
      <c r="H5" t="s">
        <v>4</v>
      </c>
      <c r="I5" t="s">
        <v>5</v>
      </c>
      <c r="J5" t="s">
        <v>19</v>
      </c>
      <c r="K5" t="s">
        <v>23</v>
      </c>
    </row>
    <row r="7" spans="1:11">
      <c r="C7" s="1"/>
      <c r="F7" s="2"/>
      <c r="I7" s="2"/>
      <c r="J7" s="2"/>
      <c r="K7" s="2"/>
    </row>
    <row r="8" spans="1:11">
      <c r="A8" t="s">
        <v>26</v>
      </c>
      <c r="B8" t="s">
        <v>12</v>
      </c>
      <c r="C8" s="1">
        <v>43087</v>
      </c>
      <c r="D8" t="s">
        <v>58</v>
      </c>
      <c r="E8" t="s">
        <v>22</v>
      </c>
      <c r="F8" s="2">
        <v>6687.5</v>
      </c>
      <c r="G8">
        <v>100</v>
      </c>
      <c r="H8">
        <v>31</v>
      </c>
      <c r="I8" s="2">
        <v>2073.13</v>
      </c>
      <c r="J8" s="2"/>
      <c r="K8" s="2"/>
    </row>
    <row r="9" spans="1:11">
      <c r="A9" t="s">
        <v>26</v>
      </c>
      <c r="B9" t="s">
        <v>12</v>
      </c>
      <c r="C9" s="1">
        <v>43087</v>
      </c>
      <c r="D9" t="s">
        <v>58</v>
      </c>
      <c r="E9" t="s">
        <v>24</v>
      </c>
      <c r="F9" s="2">
        <v>1412.5</v>
      </c>
      <c r="G9">
        <v>100</v>
      </c>
      <c r="H9">
        <v>31</v>
      </c>
      <c r="I9" s="2">
        <v>437.87</v>
      </c>
      <c r="J9" s="2"/>
      <c r="K9" s="2"/>
    </row>
    <row r="10" spans="1:11">
      <c r="A10" t="s">
        <v>26</v>
      </c>
      <c r="B10" t="s">
        <v>12</v>
      </c>
      <c r="C10" s="1">
        <v>43087</v>
      </c>
      <c r="D10" t="s">
        <v>58</v>
      </c>
      <c r="E10" t="s">
        <v>25</v>
      </c>
      <c r="F10" s="2">
        <v>775</v>
      </c>
      <c r="G10">
        <v>100</v>
      </c>
      <c r="H10">
        <v>4</v>
      </c>
      <c r="I10" s="2">
        <v>31</v>
      </c>
      <c r="J10" s="2"/>
      <c r="K10" s="2"/>
    </row>
    <row r="11" spans="1:11">
      <c r="A11" t="s">
        <v>26</v>
      </c>
      <c r="B11" t="s">
        <v>51</v>
      </c>
      <c r="C11" s="1">
        <v>43173</v>
      </c>
      <c r="D11" t="s">
        <v>58</v>
      </c>
      <c r="E11" t="s">
        <v>22</v>
      </c>
      <c r="F11" s="2">
        <v>6687.5</v>
      </c>
      <c r="G11">
        <v>100</v>
      </c>
      <c r="H11">
        <v>31</v>
      </c>
      <c r="I11" s="2">
        <v>2073.13</v>
      </c>
      <c r="J11" s="2"/>
      <c r="K11" s="2"/>
    </row>
    <row r="12" spans="1:11">
      <c r="A12" t="s">
        <v>26</v>
      </c>
      <c r="B12" t="s">
        <v>51</v>
      </c>
      <c r="C12" s="1">
        <v>43173</v>
      </c>
      <c r="D12" t="s">
        <v>58</v>
      </c>
      <c r="E12" t="s">
        <v>24</v>
      </c>
      <c r="F12" s="2">
        <v>1412.5</v>
      </c>
      <c r="G12">
        <v>100</v>
      </c>
      <c r="H12">
        <v>31</v>
      </c>
      <c r="I12" s="2">
        <v>437.87</v>
      </c>
      <c r="J12" s="2"/>
      <c r="K12" s="2"/>
    </row>
    <row r="13" spans="1:11">
      <c r="A13" t="s">
        <v>26</v>
      </c>
      <c r="B13" t="s">
        <v>51</v>
      </c>
      <c r="C13" s="1">
        <v>43173</v>
      </c>
      <c r="D13" t="s">
        <v>58</v>
      </c>
      <c r="E13" t="s">
        <v>25</v>
      </c>
      <c r="F13" s="2">
        <v>775</v>
      </c>
      <c r="G13">
        <v>100</v>
      </c>
      <c r="H13">
        <v>4</v>
      </c>
      <c r="I13" s="2">
        <v>31</v>
      </c>
      <c r="J13" s="2"/>
      <c r="K13" s="2"/>
    </row>
    <row r="14" spans="1:11">
      <c r="A14" t="s">
        <v>26</v>
      </c>
      <c r="B14" t="s">
        <v>44</v>
      </c>
      <c r="C14" s="1">
        <v>43276</v>
      </c>
      <c r="D14" t="s">
        <v>56</v>
      </c>
      <c r="E14" t="s">
        <v>22</v>
      </c>
      <c r="F14" s="2">
        <v>6687.49</v>
      </c>
      <c r="G14">
        <v>100</v>
      </c>
      <c r="H14">
        <v>31</v>
      </c>
      <c r="I14" s="2">
        <v>2073.12</v>
      </c>
      <c r="J14" s="2"/>
      <c r="K14" s="2"/>
    </row>
    <row r="15" spans="1:11">
      <c r="A15" t="s">
        <v>26</v>
      </c>
      <c r="B15" t="s">
        <v>44</v>
      </c>
      <c r="C15" s="1">
        <v>43276</v>
      </c>
      <c r="D15" t="s">
        <v>56</v>
      </c>
      <c r="E15" t="s">
        <v>24</v>
      </c>
      <c r="F15" s="2">
        <v>1412.5</v>
      </c>
      <c r="G15">
        <v>100</v>
      </c>
      <c r="H15">
        <v>31</v>
      </c>
      <c r="I15" s="2">
        <v>437.87</v>
      </c>
      <c r="J15" s="2"/>
      <c r="K15" s="2"/>
    </row>
    <row r="16" spans="1:11">
      <c r="A16" t="s">
        <v>26</v>
      </c>
      <c r="B16" t="s">
        <v>44</v>
      </c>
      <c r="C16" s="1">
        <v>43276</v>
      </c>
      <c r="D16" t="s">
        <v>56</v>
      </c>
      <c r="E16" t="s">
        <v>25</v>
      </c>
      <c r="F16" s="2">
        <v>775</v>
      </c>
      <c r="G16">
        <v>100</v>
      </c>
      <c r="H16">
        <v>4</v>
      </c>
      <c r="I16" s="2">
        <v>31</v>
      </c>
      <c r="J16" s="2"/>
      <c r="K16" s="2"/>
    </row>
    <row r="17" spans="1:11">
      <c r="A17" t="s">
        <v>26</v>
      </c>
      <c r="B17" t="s">
        <v>40</v>
      </c>
      <c r="C17" s="1">
        <v>43357</v>
      </c>
      <c r="D17" t="s">
        <v>57</v>
      </c>
      <c r="E17" t="s">
        <v>22</v>
      </c>
      <c r="F17" s="2">
        <v>6687.49</v>
      </c>
      <c r="G17">
        <v>100</v>
      </c>
      <c r="H17">
        <v>31</v>
      </c>
      <c r="I17" s="2">
        <v>2073.12</v>
      </c>
      <c r="J17" s="2"/>
      <c r="K17" s="2"/>
    </row>
    <row r="18" spans="1:11">
      <c r="A18" t="s">
        <v>26</v>
      </c>
      <c r="B18" t="s">
        <v>40</v>
      </c>
      <c r="C18" s="1">
        <v>43357</v>
      </c>
      <c r="D18" t="s">
        <v>57</v>
      </c>
      <c r="E18" t="s">
        <v>24</v>
      </c>
      <c r="F18" s="2">
        <v>1412.5</v>
      </c>
      <c r="G18">
        <v>100</v>
      </c>
      <c r="H18">
        <v>31</v>
      </c>
      <c r="I18" s="2">
        <v>437.87</v>
      </c>
      <c r="J18" s="2"/>
      <c r="K18" s="2"/>
    </row>
    <row r="19" spans="1:11">
      <c r="A19" t="s">
        <v>26</v>
      </c>
      <c r="B19" t="s">
        <v>40</v>
      </c>
      <c r="C19" s="1">
        <v>43357</v>
      </c>
      <c r="D19" t="s">
        <v>57</v>
      </c>
      <c r="E19" t="s">
        <v>25</v>
      </c>
      <c r="F19" s="2">
        <v>775</v>
      </c>
      <c r="G19">
        <v>100</v>
      </c>
      <c r="H19">
        <v>4</v>
      </c>
      <c r="I19" s="2">
        <v>31</v>
      </c>
      <c r="J19" s="2"/>
      <c r="K19" s="2"/>
    </row>
    <row r="20" spans="1:11">
      <c r="A20" t="s">
        <v>35</v>
      </c>
      <c r="B20" t="s">
        <v>78</v>
      </c>
      <c r="C20" s="1"/>
      <c r="F20" s="2">
        <f>SUM(F8:F19)</f>
        <v>35499.979999999996</v>
      </c>
      <c r="I20" s="2">
        <f>SUM(I8:I19)</f>
        <v>10167.980000000001</v>
      </c>
      <c r="J20" s="2"/>
      <c r="K20" s="2"/>
    </row>
    <row r="21" spans="1:11">
      <c r="C21" s="1"/>
      <c r="F21" s="2"/>
      <c r="I21" s="2"/>
      <c r="J21" s="2"/>
      <c r="K21" s="2"/>
    </row>
    <row r="22" spans="1:11">
      <c r="A22" t="s">
        <v>21</v>
      </c>
      <c r="B22" t="s">
        <v>20</v>
      </c>
      <c r="C22" s="1"/>
      <c r="D22" t="s">
        <v>59</v>
      </c>
      <c r="F22" s="2"/>
      <c r="I22" s="2"/>
      <c r="J22" s="2"/>
      <c r="K22" s="2"/>
    </row>
    <row r="23" spans="1:11">
      <c r="A23" t="s">
        <v>21</v>
      </c>
      <c r="C23" s="1"/>
      <c r="D23" t="s">
        <v>59</v>
      </c>
      <c r="E23" t="s">
        <v>22</v>
      </c>
      <c r="F23" s="2"/>
      <c r="G23">
        <v>100</v>
      </c>
      <c r="H23">
        <v>31</v>
      </c>
      <c r="I23" s="2"/>
      <c r="J23" s="2"/>
      <c r="K23" s="2"/>
    </row>
    <row r="24" spans="1:11">
      <c r="A24" t="s">
        <v>21</v>
      </c>
      <c r="C24" s="1"/>
      <c r="D24" t="s">
        <v>59</v>
      </c>
      <c r="E24" t="s">
        <v>24</v>
      </c>
      <c r="F24" s="2"/>
      <c r="G24">
        <v>100</v>
      </c>
      <c r="H24">
        <v>31</v>
      </c>
      <c r="I24" s="2"/>
      <c r="J24" s="2"/>
      <c r="K24" s="2"/>
    </row>
    <row r="25" spans="1:11">
      <c r="A25" t="s">
        <v>21</v>
      </c>
      <c r="C25" s="1"/>
      <c r="D25" t="s">
        <v>59</v>
      </c>
      <c r="E25" t="s">
        <v>25</v>
      </c>
      <c r="F25" s="2"/>
      <c r="G25">
        <v>100</v>
      </c>
      <c r="H25">
        <v>4</v>
      </c>
      <c r="I25" s="2"/>
      <c r="J25" s="2"/>
      <c r="K25" s="2"/>
    </row>
    <row r="26" spans="1:11">
      <c r="A26" t="s">
        <v>35</v>
      </c>
      <c r="B26" t="s">
        <v>21</v>
      </c>
      <c r="F26" s="2">
        <f>SUM(F23:F25)</f>
        <v>0</v>
      </c>
      <c r="I26" s="2">
        <f>SUM(I23:I25)</f>
        <v>0</v>
      </c>
    </row>
    <row r="28" spans="1:11">
      <c r="A28" t="s">
        <v>37</v>
      </c>
      <c r="B28" t="s">
        <v>62</v>
      </c>
      <c r="F28" s="3">
        <f>F20-F26</f>
        <v>35499.979999999996</v>
      </c>
      <c r="I28" s="3">
        <f>I20-I26</f>
        <v>10167.980000000001</v>
      </c>
    </row>
  </sheetData>
  <mergeCells count="1"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8"/>
  <sheetViews>
    <sheetView workbookViewId="0">
      <selection activeCell="D37" sqref="D37"/>
    </sheetView>
  </sheetViews>
  <sheetFormatPr baseColWidth="10" defaultRowHeight="14.4"/>
  <cols>
    <col min="1" max="1" width="26.88671875" bestFit="1" customWidth="1"/>
    <col min="2" max="2" width="22.88671875" bestFit="1" customWidth="1"/>
    <col min="3" max="3" width="19.88671875" bestFit="1" customWidth="1"/>
    <col min="4" max="4" width="22.21875" bestFit="1" customWidth="1"/>
    <col min="5" max="5" width="25" bestFit="1" customWidth="1"/>
    <col min="6" max="6" width="13.21875" bestFit="1" customWidth="1"/>
    <col min="7" max="7" width="8.44140625" bestFit="1" customWidth="1"/>
    <col min="8" max="8" width="9.44140625" bestFit="1" customWidth="1"/>
    <col min="9" max="9" width="12.77734375" bestFit="1" customWidth="1"/>
    <col min="10" max="10" width="8.44140625" bestFit="1" customWidth="1"/>
    <col min="11" max="11" width="10.44140625" bestFit="1" customWidth="1"/>
  </cols>
  <sheetData>
    <row r="3" spans="1:11">
      <c r="G3" s="190" t="s">
        <v>6</v>
      </c>
      <c r="H3" s="190"/>
    </row>
    <row r="5" spans="1:11">
      <c r="A5" t="s">
        <v>9</v>
      </c>
      <c r="C5" t="s">
        <v>0</v>
      </c>
      <c r="D5" t="s">
        <v>1</v>
      </c>
      <c r="F5" t="s">
        <v>2</v>
      </c>
      <c r="G5" t="s">
        <v>3</v>
      </c>
      <c r="H5" t="s">
        <v>4</v>
      </c>
      <c r="I5" t="s">
        <v>5</v>
      </c>
      <c r="J5" t="s">
        <v>19</v>
      </c>
      <c r="K5" t="s">
        <v>23</v>
      </c>
    </row>
    <row r="7" spans="1:11">
      <c r="C7" s="1"/>
      <c r="F7" s="2"/>
      <c r="I7" s="2"/>
      <c r="J7" s="2"/>
      <c r="K7" s="2"/>
    </row>
    <row r="8" spans="1:11">
      <c r="A8" t="s">
        <v>26</v>
      </c>
      <c r="B8" t="s">
        <v>12</v>
      </c>
      <c r="C8" s="1">
        <v>43453</v>
      </c>
      <c r="D8" t="s">
        <v>63</v>
      </c>
      <c r="E8" t="s">
        <v>22</v>
      </c>
      <c r="F8" s="2">
        <v>6425</v>
      </c>
      <c r="G8">
        <v>100</v>
      </c>
      <c r="H8">
        <v>31</v>
      </c>
      <c r="I8" s="2">
        <v>1991.75</v>
      </c>
      <c r="J8" s="2"/>
      <c r="K8" s="2"/>
    </row>
    <row r="9" spans="1:11">
      <c r="A9" t="s">
        <v>26</v>
      </c>
      <c r="B9" t="s">
        <v>12</v>
      </c>
      <c r="C9" s="1">
        <v>43453</v>
      </c>
      <c r="D9" t="s">
        <v>63</v>
      </c>
      <c r="E9" t="s">
        <v>24</v>
      </c>
      <c r="F9" s="2">
        <v>3500</v>
      </c>
      <c r="G9">
        <v>100</v>
      </c>
      <c r="H9">
        <v>31</v>
      </c>
      <c r="I9" s="2">
        <v>1085</v>
      </c>
      <c r="J9" s="2"/>
      <c r="K9" s="2"/>
    </row>
    <row r="10" spans="1:11">
      <c r="A10" t="s">
        <v>26</v>
      </c>
      <c r="B10" t="s">
        <v>12</v>
      </c>
      <c r="C10" s="1">
        <v>43453</v>
      </c>
      <c r="D10" t="s">
        <v>63</v>
      </c>
      <c r="E10" t="s">
        <v>25</v>
      </c>
      <c r="F10" s="2">
        <v>1275</v>
      </c>
      <c r="G10">
        <v>100</v>
      </c>
      <c r="H10">
        <v>4</v>
      </c>
      <c r="I10" s="2">
        <v>51</v>
      </c>
      <c r="J10" s="2"/>
      <c r="K10" s="2"/>
    </row>
    <row r="11" spans="1:11">
      <c r="A11" t="s">
        <v>26</v>
      </c>
      <c r="B11" t="s">
        <v>51</v>
      </c>
      <c r="C11" s="1"/>
      <c r="D11" t="s">
        <v>64</v>
      </c>
      <c r="E11" t="s">
        <v>22</v>
      </c>
      <c r="F11" s="2">
        <v>6425</v>
      </c>
      <c r="G11">
        <v>100</v>
      </c>
      <c r="H11">
        <v>31</v>
      </c>
      <c r="I11" s="2"/>
      <c r="J11" s="2"/>
      <c r="K11" s="2"/>
    </row>
    <row r="12" spans="1:11">
      <c r="A12" t="s">
        <v>26</v>
      </c>
      <c r="B12" t="s">
        <v>51</v>
      </c>
      <c r="C12" s="1"/>
      <c r="D12" t="s">
        <v>64</v>
      </c>
      <c r="E12" t="s">
        <v>24</v>
      </c>
      <c r="F12" s="2">
        <v>3500</v>
      </c>
      <c r="G12">
        <v>100</v>
      </c>
      <c r="H12">
        <v>31</v>
      </c>
      <c r="I12" s="2"/>
      <c r="J12" s="2"/>
      <c r="K12" s="2"/>
    </row>
    <row r="13" spans="1:11">
      <c r="A13" t="s">
        <v>26</v>
      </c>
      <c r="B13" t="s">
        <v>51</v>
      </c>
      <c r="C13" s="1"/>
      <c r="D13" t="s">
        <v>64</v>
      </c>
      <c r="E13" t="s">
        <v>25</v>
      </c>
      <c r="F13" s="2">
        <v>1275</v>
      </c>
      <c r="G13">
        <v>100</v>
      </c>
      <c r="H13">
        <v>4</v>
      </c>
      <c r="I13" s="2"/>
      <c r="J13" s="2"/>
      <c r="K13" s="2"/>
    </row>
    <row r="14" spans="1:11">
      <c r="A14" t="s">
        <v>26</v>
      </c>
      <c r="B14" t="s">
        <v>44</v>
      </c>
      <c r="C14" s="1"/>
      <c r="D14" t="s">
        <v>65</v>
      </c>
      <c r="E14" t="s">
        <v>22</v>
      </c>
      <c r="F14" s="2">
        <v>6425</v>
      </c>
      <c r="G14">
        <v>100</v>
      </c>
      <c r="H14">
        <v>31</v>
      </c>
      <c r="I14" s="2"/>
      <c r="J14" s="2"/>
      <c r="K14" s="2"/>
    </row>
    <row r="15" spans="1:11">
      <c r="A15" t="s">
        <v>26</v>
      </c>
      <c r="B15" t="s">
        <v>44</v>
      </c>
      <c r="C15" s="1"/>
      <c r="D15" t="s">
        <v>65</v>
      </c>
      <c r="E15" t="s">
        <v>24</v>
      </c>
      <c r="F15" s="2">
        <v>3500</v>
      </c>
      <c r="G15">
        <v>100</v>
      </c>
      <c r="H15">
        <v>31</v>
      </c>
      <c r="I15" s="2"/>
      <c r="J15" s="2"/>
      <c r="K15" s="2"/>
    </row>
    <row r="16" spans="1:11">
      <c r="A16" t="s">
        <v>26</v>
      </c>
      <c r="B16" t="s">
        <v>44</v>
      </c>
      <c r="C16" s="1"/>
      <c r="D16" t="s">
        <v>65</v>
      </c>
      <c r="E16" t="s">
        <v>25</v>
      </c>
      <c r="F16" s="2">
        <v>1275</v>
      </c>
      <c r="G16">
        <v>100</v>
      </c>
      <c r="H16">
        <v>4</v>
      </c>
      <c r="I16" s="2"/>
      <c r="J16" s="2"/>
      <c r="K16" s="2"/>
    </row>
    <row r="17" spans="1:11">
      <c r="A17" t="s">
        <v>26</v>
      </c>
      <c r="B17" t="s">
        <v>40</v>
      </c>
      <c r="C17" s="1"/>
      <c r="D17" t="s">
        <v>66</v>
      </c>
      <c r="E17" t="s">
        <v>22</v>
      </c>
      <c r="F17" s="2">
        <v>6425</v>
      </c>
      <c r="G17">
        <v>100</v>
      </c>
      <c r="H17">
        <v>31</v>
      </c>
      <c r="I17" s="2"/>
      <c r="J17" s="2"/>
      <c r="K17" s="2"/>
    </row>
    <row r="18" spans="1:11">
      <c r="A18" t="s">
        <v>26</v>
      </c>
      <c r="B18" t="s">
        <v>40</v>
      </c>
      <c r="C18" s="1"/>
      <c r="D18" t="s">
        <v>66</v>
      </c>
      <c r="E18" t="s">
        <v>24</v>
      </c>
      <c r="F18" s="2">
        <v>3500</v>
      </c>
      <c r="G18">
        <v>100</v>
      </c>
      <c r="H18">
        <v>31</v>
      </c>
      <c r="I18" s="2"/>
      <c r="J18" s="2"/>
      <c r="K18" s="2"/>
    </row>
    <row r="19" spans="1:11">
      <c r="A19" t="s">
        <v>26</v>
      </c>
      <c r="B19" t="s">
        <v>40</v>
      </c>
      <c r="C19" s="1"/>
      <c r="D19" t="s">
        <v>66</v>
      </c>
      <c r="E19" t="s">
        <v>25</v>
      </c>
      <c r="F19" s="2">
        <v>1275</v>
      </c>
      <c r="G19">
        <v>100</v>
      </c>
      <c r="H19">
        <v>4</v>
      </c>
      <c r="I19" s="2"/>
      <c r="J19" s="2"/>
      <c r="K19" s="2"/>
    </row>
    <row r="20" spans="1:11">
      <c r="A20" t="s">
        <v>35</v>
      </c>
      <c r="B20" t="s">
        <v>77</v>
      </c>
      <c r="C20" s="1"/>
      <c r="F20" s="2">
        <f>SUM(F8:F19)</f>
        <v>44800</v>
      </c>
      <c r="I20" s="2">
        <f>SUM(I8:I19)</f>
        <v>3127.75</v>
      </c>
      <c r="J20" s="2"/>
      <c r="K20" s="2"/>
    </row>
    <row r="21" spans="1:11">
      <c r="C21" s="1"/>
      <c r="F21" s="2"/>
      <c r="I21" s="2"/>
      <c r="J21" s="2"/>
      <c r="K21" s="2"/>
    </row>
    <row r="22" spans="1:11">
      <c r="A22" t="s">
        <v>21</v>
      </c>
      <c r="B22" t="s">
        <v>20</v>
      </c>
      <c r="C22" s="1"/>
      <c r="D22" t="s">
        <v>59</v>
      </c>
      <c r="F22" s="2"/>
      <c r="I22" s="2"/>
      <c r="J22" s="2"/>
      <c r="K22" s="2"/>
    </row>
    <row r="23" spans="1:11">
      <c r="A23" t="s">
        <v>21</v>
      </c>
      <c r="C23" s="1"/>
      <c r="D23" t="s">
        <v>59</v>
      </c>
      <c r="E23" t="s">
        <v>22</v>
      </c>
      <c r="F23" s="2"/>
      <c r="G23">
        <v>100</v>
      </c>
      <c r="H23">
        <v>31</v>
      </c>
      <c r="I23" s="2"/>
      <c r="J23" s="2"/>
      <c r="K23" s="2"/>
    </row>
    <row r="24" spans="1:11">
      <c r="A24" t="s">
        <v>21</v>
      </c>
      <c r="C24" s="1"/>
      <c r="D24" t="s">
        <v>59</v>
      </c>
      <c r="E24" t="s">
        <v>24</v>
      </c>
      <c r="F24" s="2"/>
      <c r="G24">
        <v>100</v>
      </c>
      <c r="H24">
        <v>31</v>
      </c>
      <c r="I24" s="2"/>
      <c r="J24" s="2"/>
      <c r="K24" s="2"/>
    </row>
    <row r="25" spans="1:11">
      <c r="A25" t="s">
        <v>21</v>
      </c>
      <c r="C25" s="1"/>
      <c r="D25" t="s">
        <v>59</v>
      </c>
      <c r="E25" t="s">
        <v>25</v>
      </c>
      <c r="F25" s="2"/>
      <c r="G25">
        <v>100</v>
      </c>
      <c r="H25">
        <v>4</v>
      </c>
      <c r="I25" s="2"/>
      <c r="J25" s="2"/>
      <c r="K25" s="2"/>
    </row>
    <row r="26" spans="1:11">
      <c r="A26" t="s">
        <v>35</v>
      </c>
      <c r="B26" t="s">
        <v>21</v>
      </c>
      <c r="F26" s="2">
        <f>SUM(F23:F25)</f>
        <v>0</v>
      </c>
      <c r="I26" s="2">
        <f>SUM(I23:I25)</f>
        <v>0</v>
      </c>
    </row>
    <row r="28" spans="1:11">
      <c r="A28" t="s">
        <v>37</v>
      </c>
      <c r="B28" t="s">
        <v>62</v>
      </c>
      <c r="F28" s="3">
        <f>F20-F26</f>
        <v>44800</v>
      </c>
      <c r="I28" s="3">
        <f>I20-I26</f>
        <v>3127.75</v>
      </c>
    </row>
  </sheetData>
  <mergeCells count="1">
    <mergeCell ref="G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54"/>
  <sheetViews>
    <sheetView topLeftCell="C1" workbookViewId="0">
      <selection activeCell="C1" sqref="A1:XFD3"/>
    </sheetView>
  </sheetViews>
  <sheetFormatPr baseColWidth="10" defaultRowHeight="14.4"/>
  <cols>
    <col min="1" max="1" width="34.77734375" style="138" bestFit="1" customWidth="1"/>
    <col min="2" max="2" width="27.6640625" style="138" bestFit="1" customWidth="1"/>
    <col min="3" max="3" width="9.33203125" style="138" bestFit="1" customWidth="1"/>
    <col min="4" max="4" width="3.44140625" style="138" bestFit="1" customWidth="1"/>
    <col min="5" max="7" width="9.33203125" style="138" customWidth="1"/>
    <col min="8" max="8" width="8.33203125" style="138" bestFit="1" customWidth="1"/>
    <col min="9" max="9" width="9.44140625" style="138" bestFit="1" customWidth="1"/>
    <col min="10" max="10" width="19.88671875" style="138" bestFit="1" customWidth="1"/>
    <col min="11" max="11" width="10.5546875" style="138" bestFit="1" customWidth="1"/>
    <col min="12" max="12" width="25" style="138" bestFit="1" customWidth="1"/>
    <col min="13" max="13" width="8.33203125" style="138" bestFit="1" customWidth="1"/>
    <col min="14" max="14" width="14.44140625" style="138" bestFit="1" customWidth="1"/>
    <col min="15" max="15" width="13.21875" style="138" bestFit="1" customWidth="1"/>
    <col min="16" max="16" width="8.44140625" style="138" bestFit="1" customWidth="1"/>
    <col min="17" max="17" width="9.44140625" style="138" bestFit="1" customWidth="1"/>
    <col min="18" max="18" width="12.77734375" style="138" bestFit="1" customWidth="1"/>
    <col min="19" max="19" width="8.44140625" style="138" bestFit="1" customWidth="1"/>
    <col min="20" max="20" width="10.44140625" style="138" bestFit="1" customWidth="1"/>
    <col min="21" max="16384" width="11.5546875" style="138"/>
  </cols>
  <sheetData>
    <row r="2" spans="1:18">
      <c r="A2" s="152"/>
      <c r="B2" s="146"/>
      <c r="C2" s="146"/>
      <c r="D2" s="146"/>
      <c r="E2" s="146"/>
      <c r="F2" s="146" t="s">
        <v>163</v>
      </c>
      <c r="G2" s="146"/>
      <c r="H2" s="193" t="s">
        <v>164</v>
      </c>
      <c r="I2" s="193"/>
      <c r="J2" s="148"/>
      <c r="K2" s="148"/>
      <c r="L2" s="146"/>
      <c r="M2" s="150"/>
      <c r="N2" s="149"/>
      <c r="O2" s="150"/>
      <c r="P2" s="146"/>
      <c r="Q2" s="146"/>
      <c r="R2" s="151"/>
    </row>
    <row r="3" spans="1:18">
      <c r="A3" s="152"/>
      <c r="B3" s="146"/>
      <c r="C3" s="146"/>
      <c r="D3" s="146"/>
      <c r="E3" s="146" t="s">
        <v>96</v>
      </c>
      <c r="F3" s="156">
        <v>0.2</v>
      </c>
      <c r="G3" s="146" t="s">
        <v>98</v>
      </c>
      <c r="H3" s="193" t="s">
        <v>98</v>
      </c>
      <c r="I3" s="193"/>
      <c r="J3" s="148"/>
      <c r="K3" s="148"/>
      <c r="L3" s="146"/>
      <c r="M3" s="150"/>
      <c r="N3" s="149"/>
      <c r="O3" s="150"/>
      <c r="P3" s="146"/>
      <c r="Q3" s="146"/>
      <c r="R3" s="151"/>
    </row>
    <row r="4" spans="1:18">
      <c r="A4" s="152" t="s">
        <v>160</v>
      </c>
      <c r="B4" s="147" t="s">
        <v>173</v>
      </c>
      <c r="C4" s="146"/>
      <c r="D4" s="146"/>
      <c r="E4" s="150">
        <v>55785.15</v>
      </c>
      <c r="F4" s="150">
        <f>E4*F3</f>
        <v>11157.03</v>
      </c>
      <c r="G4" s="150">
        <f t="shared" ref="G4:G9" si="0">E4+F4</f>
        <v>66942.180000000008</v>
      </c>
      <c r="I4" s="150">
        <f>G4</f>
        <v>66942.180000000008</v>
      </c>
      <c r="J4" s="148"/>
      <c r="K4" s="148"/>
      <c r="L4" s="146"/>
      <c r="M4" s="150"/>
      <c r="N4" s="149"/>
      <c r="O4" s="150"/>
      <c r="P4" s="146"/>
      <c r="Q4" s="146"/>
      <c r="R4" s="151"/>
    </row>
    <row r="5" spans="1:18">
      <c r="A5" s="118" t="s">
        <v>162</v>
      </c>
      <c r="B5" s="146" t="s">
        <v>165</v>
      </c>
      <c r="C5" s="150">
        <f>E4</f>
        <v>55785.15</v>
      </c>
      <c r="D5" s="156">
        <v>0.05</v>
      </c>
      <c r="E5" s="150">
        <f>C5*D5</f>
        <v>2789.2575000000002</v>
      </c>
      <c r="F5" s="150">
        <f>E5*F3</f>
        <v>557.8515000000001</v>
      </c>
      <c r="G5" s="150">
        <f t="shared" si="0"/>
        <v>3347.1090000000004</v>
      </c>
      <c r="H5" s="150">
        <v>3600</v>
      </c>
      <c r="I5" s="150"/>
      <c r="J5" s="148"/>
      <c r="K5" s="148"/>
      <c r="L5" s="146"/>
      <c r="M5" s="150"/>
      <c r="N5" s="149"/>
      <c r="O5" s="150"/>
      <c r="P5" s="146"/>
      <c r="Q5" s="146"/>
      <c r="R5" s="151"/>
    </row>
    <row r="6" spans="1:18">
      <c r="A6" s="118" t="s">
        <v>166</v>
      </c>
      <c r="B6" s="146" t="s">
        <v>167</v>
      </c>
      <c r="C6" s="146"/>
      <c r="D6" s="146"/>
      <c r="E6" s="150">
        <v>1375</v>
      </c>
      <c r="F6" s="150">
        <f>E6*F3</f>
        <v>275</v>
      </c>
      <c r="G6" s="150">
        <f t="shared" si="0"/>
        <v>1650</v>
      </c>
      <c r="H6" s="150">
        <v>1650</v>
      </c>
      <c r="I6" s="150"/>
      <c r="J6" s="148"/>
      <c r="K6" s="148"/>
      <c r="L6" s="146"/>
      <c r="M6" s="150"/>
      <c r="N6" s="149"/>
      <c r="O6" s="150"/>
      <c r="P6" s="146"/>
      <c r="Q6" s="146"/>
      <c r="R6" s="151"/>
    </row>
    <row r="7" spans="1:18">
      <c r="A7" s="118" t="s">
        <v>168</v>
      </c>
      <c r="B7" s="146" t="s">
        <v>169</v>
      </c>
      <c r="C7" s="150">
        <f>E4</f>
        <v>55785.15</v>
      </c>
      <c r="D7" s="156">
        <v>0.09</v>
      </c>
      <c r="E7" s="150">
        <f>C7*D7</f>
        <v>5020.6634999999997</v>
      </c>
      <c r="F7" s="150">
        <f>E7*F3</f>
        <v>1004.1327</v>
      </c>
      <c r="G7" s="150">
        <f t="shared" si="0"/>
        <v>6024.7961999999998</v>
      </c>
      <c r="H7" s="150">
        <v>6000</v>
      </c>
      <c r="I7" s="150"/>
      <c r="J7" s="148"/>
      <c r="K7" s="148"/>
      <c r="L7" s="146"/>
      <c r="M7" s="150"/>
      <c r="O7" s="150"/>
      <c r="P7" s="146"/>
      <c r="Q7" s="146"/>
      <c r="R7" s="136"/>
    </row>
    <row r="8" spans="1:18">
      <c r="A8" s="118" t="s">
        <v>170</v>
      </c>
      <c r="C8" s="136">
        <f>E4</f>
        <v>55785.15</v>
      </c>
      <c r="D8" s="157">
        <v>0.02</v>
      </c>
      <c r="E8" s="149">
        <f>C8*D8</f>
        <v>1115.703</v>
      </c>
      <c r="F8" s="149">
        <f>E8*F3</f>
        <v>223.14060000000001</v>
      </c>
      <c r="G8" s="149">
        <f t="shared" si="0"/>
        <v>1338.8435999999999</v>
      </c>
      <c r="H8" s="150">
        <v>2880</v>
      </c>
      <c r="I8" s="150"/>
    </row>
    <row r="9" spans="1:18">
      <c r="A9" s="118" t="s">
        <v>171</v>
      </c>
      <c r="B9" s="146" t="s">
        <v>172</v>
      </c>
      <c r="C9" s="150">
        <f>E4</f>
        <v>55785.15</v>
      </c>
      <c r="D9" s="156">
        <v>0.03</v>
      </c>
      <c r="E9" s="150">
        <f>C9*D9</f>
        <v>1673.5545</v>
      </c>
      <c r="F9" s="150">
        <f>E9*F3</f>
        <v>334.71090000000004</v>
      </c>
      <c r="G9" s="150">
        <f t="shared" si="0"/>
        <v>2008.2654</v>
      </c>
      <c r="H9" s="150">
        <v>1800</v>
      </c>
      <c r="I9" s="150">
        <f>SUM(H5:H9)</f>
        <v>15930</v>
      </c>
      <c r="J9" s="148"/>
      <c r="K9" s="148"/>
      <c r="L9" s="146"/>
      <c r="M9" s="150"/>
      <c r="N9" s="149"/>
      <c r="O9" s="150"/>
      <c r="P9" s="146"/>
      <c r="Q9" s="146"/>
      <c r="R9" s="151"/>
    </row>
    <row r="10" spans="1:18">
      <c r="A10" s="152"/>
      <c r="B10" s="146"/>
      <c r="C10" s="146"/>
      <c r="D10" s="146"/>
      <c r="E10" s="146"/>
      <c r="F10" s="146"/>
      <c r="G10" s="146"/>
      <c r="H10" s="146"/>
      <c r="I10" s="113">
        <f>SUM(I4:I9)</f>
        <v>82872.180000000008</v>
      </c>
      <c r="J10" s="148"/>
      <c r="K10" s="148"/>
      <c r="L10" s="146"/>
      <c r="M10" s="150"/>
      <c r="N10" s="149"/>
      <c r="O10" s="151">
        <f>I10</f>
        <v>82872.180000000008</v>
      </c>
      <c r="P10" s="146"/>
      <c r="Q10" s="146"/>
      <c r="R10" s="151"/>
    </row>
    <row r="11" spans="1:18">
      <c r="A11" s="152"/>
      <c r="B11" s="146"/>
      <c r="C11" s="146"/>
      <c r="D11" s="146"/>
      <c r="E11" s="146"/>
      <c r="F11" s="146"/>
      <c r="G11" s="146"/>
      <c r="H11" s="146"/>
      <c r="I11" s="150"/>
      <c r="J11" s="148"/>
      <c r="K11" s="148"/>
      <c r="L11" s="146"/>
      <c r="M11" s="150"/>
      <c r="N11" s="149"/>
      <c r="O11" s="150"/>
      <c r="P11" s="146"/>
      <c r="Q11" s="146"/>
      <c r="R11" s="151"/>
    </row>
    <row r="12" spans="1:18">
      <c r="A12" s="152" t="s">
        <v>160</v>
      </c>
      <c r="B12" s="154" t="s">
        <v>161</v>
      </c>
      <c r="C12" s="146"/>
      <c r="D12" s="146"/>
      <c r="E12" s="150">
        <v>51221.63</v>
      </c>
      <c r="F12" s="150">
        <f>E12*F3</f>
        <v>10244.326000000001</v>
      </c>
      <c r="G12" s="150">
        <f t="shared" ref="G12:G17" si="1">E12+F12</f>
        <v>61465.955999999998</v>
      </c>
      <c r="I12" s="150">
        <f>G12</f>
        <v>61465.955999999998</v>
      </c>
      <c r="J12" s="148"/>
      <c r="K12" s="148"/>
      <c r="L12" s="146"/>
      <c r="M12" s="150"/>
      <c r="N12" s="149"/>
      <c r="O12" s="150"/>
      <c r="P12" s="146"/>
      <c r="Q12" s="146"/>
      <c r="R12" s="151"/>
    </row>
    <row r="13" spans="1:18">
      <c r="A13" s="118" t="s">
        <v>162</v>
      </c>
      <c r="B13" s="146" t="s">
        <v>165</v>
      </c>
      <c r="C13" s="150">
        <f>E12</f>
        <v>51221.63</v>
      </c>
      <c r="D13" s="156">
        <v>0.05</v>
      </c>
      <c r="E13" s="150">
        <f>C13*D13</f>
        <v>2561.0815000000002</v>
      </c>
      <c r="F13" s="150">
        <f>E13*F3</f>
        <v>512.21630000000005</v>
      </c>
      <c r="G13" s="150">
        <f t="shared" si="1"/>
        <v>3073.2978000000003</v>
      </c>
      <c r="H13" s="150">
        <v>3600</v>
      </c>
      <c r="I13" s="150"/>
      <c r="J13" s="148"/>
      <c r="K13" s="148"/>
      <c r="L13" s="146"/>
      <c r="M13" s="150"/>
      <c r="N13" s="149"/>
      <c r="O13" s="150"/>
      <c r="P13" s="146"/>
      <c r="Q13" s="146"/>
      <c r="R13" s="151"/>
    </row>
    <row r="14" spans="1:18">
      <c r="A14" s="118" t="s">
        <v>166</v>
      </c>
      <c r="B14" s="146" t="s">
        <v>167</v>
      </c>
      <c r="C14" s="146"/>
      <c r="D14" s="146"/>
      <c r="E14" s="150">
        <v>1375</v>
      </c>
      <c r="F14" s="150">
        <f>E14*F3</f>
        <v>275</v>
      </c>
      <c r="G14" s="150">
        <f t="shared" si="1"/>
        <v>1650</v>
      </c>
      <c r="H14" s="150">
        <v>1650</v>
      </c>
      <c r="I14" s="150"/>
      <c r="J14" s="148"/>
      <c r="K14" s="148"/>
      <c r="L14" s="146"/>
      <c r="M14" s="150"/>
      <c r="N14" s="149"/>
      <c r="O14" s="150"/>
      <c r="P14" s="146"/>
      <c r="Q14" s="146"/>
      <c r="R14" s="151"/>
    </row>
    <row r="15" spans="1:18">
      <c r="A15" s="118" t="s">
        <v>168</v>
      </c>
      <c r="B15" s="146" t="s">
        <v>169</v>
      </c>
      <c r="C15" s="150">
        <f>E12</f>
        <v>51221.63</v>
      </c>
      <c r="D15" s="156">
        <v>0.09</v>
      </c>
      <c r="E15" s="150">
        <f>C15*D15</f>
        <v>4609.9466999999995</v>
      </c>
      <c r="F15" s="150">
        <f>E15*F3</f>
        <v>921.98933999999997</v>
      </c>
      <c r="G15" s="150">
        <f t="shared" si="1"/>
        <v>5531.9360399999996</v>
      </c>
      <c r="H15" s="150">
        <v>6000</v>
      </c>
      <c r="I15" s="150"/>
      <c r="J15" s="148"/>
      <c r="K15" s="148"/>
      <c r="L15" s="146"/>
      <c r="M15" s="150"/>
      <c r="O15" s="150"/>
      <c r="P15" s="146"/>
      <c r="Q15" s="146"/>
      <c r="R15" s="136"/>
    </row>
    <row r="16" spans="1:18">
      <c r="A16" s="118" t="s">
        <v>170</v>
      </c>
      <c r="C16" s="136">
        <f>E12</f>
        <v>51221.63</v>
      </c>
      <c r="D16" s="157">
        <v>0.02</v>
      </c>
      <c r="E16" s="150">
        <f>C16*D16</f>
        <v>1024.4325999999999</v>
      </c>
      <c r="F16" s="150">
        <f>E16*F3</f>
        <v>204.88651999999999</v>
      </c>
      <c r="G16" s="150">
        <f t="shared" si="1"/>
        <v>1229.3191199999999</v>
      </c>
      <c r="H16" s="150">
        <v>2880</v>
      </c>
      <c r="I16" s="150"/>
    </row>
    <row r="17" spans="1:20">
      <c r="A17" s="118" t="s">
        <v>171</v>
      </c>
      <c r="B17" s="146" t="s">
        <v>172</v>
      </c>
      <c r="C17" s="150">
        <f>E12</f>
        <v>51221.63</v>
      </c>
      <c r="D17" s="156">
        <v>0.03</v>
      </c>
      <c r="E17" s="150">
        <f>C17*D17</f>
        <v>1536.6488999999999</v>
      </c>
      <c r="F17" s="150">
        <f>E17*F3</f>
        <v>307.32978000000003</v>
      </c>
      <c r="G17" s="150">
        <f t="shared" si="1"/>
        <v>1843.9786799999999</v>
      </c>
      <c r="H17" s="150">
        <v>1800</v>
      </c>
      <c r="I17" s="150">
        <f>SUM(H13:H17)</f>
        <v>15930</v>
      </c>
      <c r="J17" s="148"/>
      <c r="K17" s="148"/>
      <c r="L17" s="146"/>
      <c r="M17" s="150"/>
      <c r="N17" s="149"/>
      <c r="O17" s="150"/>
      <c r="P17" s="146"/>
      <c r="Q17" s="146"/>
      <c r="R17" s="151"/>
    </row>
    <row r="18" spans="1:20">
      <c r="A18" s="152"/>
      <c r="B18" s="146"/>
      <c r="C18" s="146"/>
      <c r="D18" s="146"/>
      <c r="E18" s="146"/>
      <c r="F18" s="146"/>
      <c r="G18" s="146"/>
      <c r="H18" s="146"/>
      <c r="I18" s="150">
        <f>SUM(I12:I17)</f>
        <v>77395.956000000006</v>
      </c>
      <c r="J18" s="148"/>
      <c r="K18" s="148"/>
      <c r="L18" s="146"/>
      <c r="M18" s="150"/>
      <c r="N18" s="149"/>
      <c r="O18" s="150"/>
      <c r="P18" s="146"/>
      <c r="Q18" s="146"/>
      <c r="R18" s="151"/>
    </row>
    <row r="19" spans="1:20">
      <c r="A19" s="152"/>
      <c r="B19" s="146"/>
      <c r="C19" s="146"/>
      <c r="D19" s="146"/>
      <c r="E19" s="146"/>
      <c r="F19" s="146"/>
      <c r="G19" s="146"/>
      <c r="H19" s="146"/>
      <c r="I19" s="150"/>
      <c r="J19" s="148"/>
      <c r="K19" s="148"/>
      <c r="L19" s="146"/>
      <c r="M19" s="150"/>
      <c r="N19" s="149"/>
      <c r="O19" s="150"/>
      <c r="P19" s="146"/>
      <c r="Q19" s="146"/>
      <c r="R19" s="151"/>
    </row>
    <row r="20" spans="1:20">
      <c r="M20" s="193" t="s">
        <v>83</v>
      </c>
      <c r="N20" s="193"/>
      <c r="O20" s="193"/>
    </row>
    <row r="21" spans="1:20">
      <c r="A21" s="141" t="s">
        <v>9</v>
      </c>
      <c r="J21" s="138" t="s">
        <v>0</v>
      </c>
      <c r="K21" s="138" t="s">
        <v>1</v>
      </c>
      <c r="M21" s="146"/>
      <c r="N21" s="146"/>
      <c r="O21" s="146" t="s">
        <v>2</v>
      </c>
      <c r="P21" s="146" t="s">
        <v>3</v>
      </c>
      <c r="Q21" s="146" t="s">
        <v>4</v>
      </c>
      <c r="R21" s="146" t="s">
        <v>5</v>
      </c>
      <c r="S21" s="146" t="s">
        <v>19</v>
      </c>
      <c r="T21" s="146" t="s">
        <v>23</v>
      </c>
    </row>
    <row r="22" spans="1:20">
      <c r="A22" s="152"/>
      <c r="B22" s="146"/>
      <c r="C22" s="146"/>
      <c r="D22" s="146"/>
      <c r="E22" s="146"/>
      <c r="F22" s="146"/>
      <c r="G22" s="146"/>
      <c r="H22" s="146"/>
      <c r="I22" s="146"/>
      <c r="J22" s="148"/>
      <c r="K22" s="148"/>
      <c r="L22" s="146"/>
      <c r="M22" s="150"/>
      <c r="N22" s="149"/>
      <c r="O22" s="150"/>
      <c r="P22" s="146"/>
      <c r="Q22" s="146"/>
      <c r="R22" s="151"/>
    </row>
    <row r="23" spans="1:20" ht="14.4" customHeight="1">
      <c r="A23" s="146" t="s">
        <v>160</v>
      </c>
      <c r="B23" s="119" t="s">
        <v>12</v>
      </c>
      <c r="C23" s="146"/>
      <c r="D23" s="146"/>
      <c r="E23" s="146"/>
      <c r="F23" s="146"/>
      <c r="G23" s="146"/>
      <c r="H23" s="146"/>
      <c r="I23" s="146"/>
      <c r="J23" s="158">
        <v>43479</v>
      </c>
      <c r="K23" s="158">
        <v>43466</v>
      </c>
      <c r="L23" s="119" t="s">
        <v>14</v>
      </c>
      <c r="M23" s="120"/>
      <c r="N23" s="159"/>
      <c r="O23" s="120">
        <v>33112.800000000003</v>
      </c>
      <c r="P23" s="119">
        <v>80</v>
      </c>
      <c r="Q23" s="119">
        <v>3</v>
      </c>
      <c r="R23" s="120">
        <f>O23*Q23/P23</f>
        <v>1241.73</v>
      </c>
      <c r="S23" s="136"/>
      <c r="T23" s="136"/>
    </row>
    <row r="24" spans="1:20">
      <c r="A24" s="119"/>
      <c r="B24" s="119" t="s">
        <v>51</v>
      </c>
      <c r="C24" s="146"/>
      <c r="D24" s="146"/>
      <c r="E24" s="146"/>
      <c r="F24" s="146"/>
      <c r="G24" s="146"/>
      <c r="H24" s="119"/>
      <c r="I24" s="119"/>
      <c r="J24" s="158">
        <v>43479</v>
      </c>
      <c r="K24" s="158">
        <v>43497</v>
      </c>
      <c r="L24" s="119" t="s">
        <v>14</v>
      </c>
      <c r="M24" s="120"/>
      <c r="N24" s="159"/>
      <c r="O24" s="120">
        <v>33112.800000000003</v>
      </c>
      <c r="P24" s="119">
        <v>80</v>
      </c>
      <c r="Q24" s="119">
        <v>3</v>
      </c>
      <c r="R24" s="120">
        <f>O24*Q24/P24</f>
        <v>1241.73</v>
      </c>
    </row>
    <row r="25" spans="1:20">
      <c r="A25" s="122"/>
      <c r="B25" s="146"/>
      <c r="C25" s="146"/>
      <c r="D25" s="146"/>
      <c r="E25" s="146"/>
      <c r="F25" s="146"/>
      <c r="G25" s="146"/>
      <c r="H25" s="146"/>
      <c r="I25" s="146"/>
      <c r="J25" s="158">
        <v>43521</v>
      </c>
      <c r="K25" s="158">
        <v>43525</v>
      </c>
      <c r="L25" s="119" t="s">
        <v>14</v>
      </c>
      <c r="M25" s="120"/>
      <c r="N25" s="159"/>
      <c r="O25" s="120">
        <v>16556.400000000001</v>
      </c>
      <c r="P25" s="119">
        <v>80</v>
      </c>
      <c r="Q25" s="119">
        <v>3</v>
      </c>
      <c r="R25" s="120">
        <f>O25*Q25/P25</f>
        <v>620.86500000000001</v>
      </c>
    </row>
    <row r="26" spans="1:20">
      <c r="O26" s="136">
        <f>SUM(O23:O25)</f>
        <v>82782</v>
      </c>
      <c r="R26" s="136">
        <f>SUM(R23:R25)</f>
        <v>3104.3249999999998</v>
      </c>
    </row>
    <row r="28" spans="1:20">
      <c r="A28" s="146" t="s">
        <v>160</v>
      </c>
      <c r="B28" s="138" t="s">
        <v>20</v>
      </c>
      <c r="J28" s="139"/>
      <c r="L28" s="119" t="s">
        <v>14</v>
      </c>
      <c r="O28" s="136"/>
      <c r="R28" s="151">
        <f>-R26</f>
        <v>-3104.3249999999998</v>
      </c>
    </row>
    <row r="29" spans="1:20">
      <c r="A29" s="146" t="s">
        <v>160</v>
      </c>
      <c r="B29" s="138" t="s">
        <v>17</v>
      </c>
      <c r="J29" s="139"/>
      <c r="L29" s="119" t="s">
        <v>14</v>
      </c>
      <c r="O29" s="136"/>
      <c r="R29" s="137"/>
    </row>
    <row r="30" spans="1:20">
      <c r="R30" s="137">
        <f>R29</f>
        <v>0</v>
      </c>
    </row>
    <row r="31" spans="1:20">
      <c r="R31" s="133"/>
    </row>
    <row r="32" spans="1:20">
      <c r="A32" s="138" t="s">
        <v>37</v>
      </c>
      <c r="B32" s="119" t="s">
        <v>160</v>
      </c>
      <c r="O32" s="136"/>
      <c r="R32" s="136"/>
    </row>
    <row r="34" spans="1:18">
      <c r="A34" s="138" t="s">
        <v>76</v>
      </c>
      <c r="B34" s="138" t="s">
        <v>28</v>
      </c>
      <c r="J34" s="139"/>
    </row>
    <row r="35" spans="1:18">
      <c r="J35" s="139"/>
    </row>
    <row r="36" spans="1:18">
      <c r="A36" s="194" t="s">
        <v>160</v>
      </c>
      <c r="B36" s="191"/>
      <c r="C36" s="153"/>
      <c r="D36" s="153"/>
      <c r="E36" s="153"/>
      <c r="F36" s="153"/>
      <c r="G36" s="153"/>
      <c r="H36" s="153"/>
      <c r="I36" s="153"/>
      <c r="J36" s="195">
        <v>43829</v>
      </c>
      <c r="K36" s="191"/>
      <c r="L36" s="191"/>
      <c r="M36" s="191"/>
      <c r="N36" s="191"/>
      <c r="O36" s="191"/>
      <c r="P36" s="191"/>
      <c r="Q36" s="191"/>
      <c r="R36" s="192">
        <v>0</v>
      </c>
    </row>
    <row r="37" spans="1:18">
      <c r="A37" s="194"/>
      <c r="B37" s="191"/>
      <c r="C37" s="153"/>
      <c r="D37" s="153"/>
      <c r="E37" s="153"/>
      <c r="F37" s="153"/>
      <c r="G37" s="153"/>
      <c r="H37" s="153"/>
      <c r="I37" s="153"/>
      <c r="J37" s="195"/>
      <c r="K37" s="191"/>
      <c r="L37" s="191"/>
      <c r="M37" s="191"/>
      <c r="N37" s="191"/>
      <c r="O37" s="191"/>
      <c r="P37" s="191"/>
      <c r="Q37" s="191"/>
      <c r="R37" s="192"/>
    </row>
    <row r="40" spans="1:18">
      <c r="B40" s="138" t="s">
        <v>87</v>
      </c>
    </row>
    <row r="41" spans="1:18">
      <c r="A41" s="146" t="s">
        <v>145</v>
      </c>
      <c r="B41" s="138" t="s">
        <v>149</v>
      </c>
    </row>
    <row r="42" spans="1:18">
      <c r="A42" s="146" t="s">
        <v>146</v>
      </c>
      <c r="B42" s="138" t="s">
        <v>147</v>
      </c>
    </row>
    <row r="44" spans="1:18" s="147" customFormat="1">
      <c r="B44" s="147" t="s">
        <v>135</v>
      </c>
    </row>
    <row r="47" spans="1:18">
      <c r="A47" s="145" t="s">
        <v>158</v>
      </c>
      <c r="B47" s="122" t="s">
        <v>148</v>
      </c>
      <c r="C47" s="122"/>
      <c r="D47" s="122"/>
      <c r="E47" s="122"/>
      <c r="F47" s="122"/>
      <c r="G47" s="122"/>
      <c r="H47" s="122"/>
      <c r="I47" s="122"/>
    </row>
    <row r="48" spans="1:18">
      <c r="A48" s="146" t="s">
        <v>150</v>
      </c>
      <c r="B48" s="138" t="s">
        <v>151</v>
      </c>
    </row>
    <row r="49" spans="1:9">
      <c r="A49" s="146" t="s">
        <v>152</v>
      </c>
      <c r="B49" s="138" t="s">
        <v>153</v>
      </c>
    </row>
    <row r="50" spans="1:9">
      <c r="A50" s="146" t="s">
        <v>154</v>
      </c>
      <c r="B50" s="138" t="s">
        <v>155</v>
      </c>
    </row>
    <row r="52" spans="1:9">
      <c r="A52" s="140" t="s">
        <v>157</v>
      </c>
      <c r="B52" s="141" t="s">
        <v>135</v>
      </c>
      <c r="C52" s="141"/>
      <c r="D52" s="141"/>
      <c r="E52" s="141"/>
      <c r="F52" s="141"/>
      <c r="G52" s="141"/>
      <c r="H52" s="141"/>
      <c r="I52" s="141"/>
    </row>
    <row r="54" spans="1:9">
      <c r="B54" s="153" t="s">
        <v>156</v>
      </c>
      <c r="C54" s="153"/>
      <c r="D54" s="153"/>
      <c r="E54" s="153"/>
      <c r="F54" s="153"/>
      <c r="G54" s="153"/>
      <c r="H54" s="153"/>
      <c r="I54" s="153"/>
    </row>
  </sheetData>
  <mergeCells count="14">
    <mergeCell ref="A36:A37"/>
    <mergeCell ref="B36:B37"/>
    <mergeCell ref="J36:J37"/>
    <mergeCell ref="K36:K37"/>
    <mergeCell ref="L36:L37"/>
    <mergeCell ref="O36:O37"/>
    <mergeCell ref="P36:P37"/>
    <mergeCell ref="Q36:Q37"/>
    <mergeCell ref="R36:R37"/>
    <mergeCell ref="H2:I2"/>
    <mergeCell ref="H3:I3"/>
    <mergeCell ref="M36:M37"/>
    <mergeCell ref="N36:N37"/>
    <mergeCell ref="M20:O2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M37"/>
  <sheetViews>
    <sheetView topLeftCell="A7" workbookViewId="0">
      <selection activeCell="A50" sqref="A50"/>
    </sheetView>
  </sheetViews>
  <sheetFormatPr baseColWidth="10" defaultRowHeight="14.4"/>
  <cols>
    <col min="1" max="1" width="34.77734375" bestFit="1" customWidth="1"/>
    <col min="2" max="2" width="27.6640625" bestFit="1" customWidth="1"/>
    <col min="3" max="3" width="19.88671875" bestFit="1" customWidth="1"/>
    <col min="4" max="4" width="21.88671875" bestFit="1" customWidth="1"/>
    <col min="5" max="5" width="14.44140625" bestFit="1" customWidth="1"/>
    <col min="6" max="6" width="8.33203125" bestFit="1" customWidth="1"/>
    <col min="7" max="7" width="14.44140625" bestFit="1" customWidth="1"/>
    <col min="8" max="8" width="13.21875" bestFit="1" customWidth="1"/>
    <col min="9" max="10" width="9.44140625" bestFit="1" customWidth="1"/>
    <col min="11" max="11" width="12.77734375" bestFit="1" customWidth="1"/>
    <col min="12" max="12" width="8.44140625" bestFit="1" customWidth="1"/>
    <col min="13" max="13" width="10.44140625" bestFit="1" customWidth="1"/>
  </cols>
  <sheetData>
    <row r="4" spans="1:13">
      <c r="F4" s="193" t="s">
        <v>83</v>
      </c>
      <c r="G4" s="193"/>
      <c r="H4" s="193"/>
    </row>
    <row r="5" spans="1:13">
      <c r="A5" t="s">
        <v>9</v>
      </c>
      <c r="C5" t="s">
        <v>0</v>
      </c>
      <c r="D5" t="s">
        <v>1</v>
      </c>
      <c r="F5" s="4" t="s">
        <v>88</v>
      </c>
      <c r="G5" s="4" t="s">
        <v>68</v>
      </c>
      <c r="H5" s="4" t="s">
        <v>2</v>
      </c>
      <c r="I5" s="4" t="s">
        <v>3</v>
      </c>
      <c r="J5" s="4" t="s">
        <v>4</v>
      </c>
      <c r="K5" s="4" t="s">
        <v>5</v>
      </c>
      <c r="L5" s="4" t="s">
        <v>19</v>
      </c>
      <c r="M5" s="4" t="s">
        <v>23</v>
      </c>
    </row>
    <row r="7" spans="1:13" ht="28.8" customHeight="1">
      <c r="A7" s="199" t="s">
        <v>159</v>
      </c>
      <c r="B7" s="193" t="s">
        <v>12</v>
      </c>
      <c r="C7" s="196">
        <v>43210</v>
      </c>
      <c r="D7" s="196">
        <v>43210</v>
      </c>
      <c r="E7" s="193" t="s">
        <v>24</v>
      </c>
      <c r="F7" s="197">
        <v>6120</v>
      </c>
      <c r="G7" s="200"/>
      <c r="H7" s="197">
        <v>6120</v>
      </c>
      <c r="I7" s="193">
        <v>100</v>
      </c>
      <c r="J7" s="193">
        <v>31</v>
      </c>
      <c r="K7" s="198">
        <v>1897.2</v>
      </c>
      <c r="L7" s="2"/>
      <c r="M7" s="2"/>
    </row>
    <row r="8" spans="1:13">
      <c r="A8" s="199"/>
      <c r="B8" s="193"/>
      <c r="C8" s="196"/>
      <c r="D8" s="196"/>
      <c r="E8" s="193"/>
      <c r="F8" s="197"/>
      <c r="G8" s="200"/>
      <c r="H8" s="197"/>
      <c r="I8" s="193"/>
      <c r="J8" s="193"/>
      <c r="K8" s="198"/>
    </row>
    <row r="9" spans="1:13" s="138" customFormat="1">
      <c r="A9" s="122"/>
      <c r="B9" s="144"/>
      <c r="C9" s="89"/>
      <c r="D9" s="89"/>
      <c r="E9" s="144"/>
      <c r="F9" s="111"/>
      <c r="H9" s="111"/>
      <c r="I9" s="144"/>
      <c r="J9" s="144"/>
      <c r="K9" s="136">
        <f>K7</f>
        <v>1897.2</v>
      </c>
    </row>
    <row r="11" spans="1:13">
      <c r="A11" s="125" t="s">
        <v>87</v>
      </c>
      <c r="B11" s="134" t="s">
        <v>20</v>
      </c>
      <c r="C11" s="135">
        <v>43727</v>
      </c>
      <c r="D11" s="134" t="s">
        <v>59</v>
      </c>
      <c r="E11" s="134" t="s">
        <v>126</v>
      </c>
      <c r="H11" s="136"/>
      <c r="I11" s="134"/>
      <c r="J11" s="134"/>
      <c r="K11" s="131">
        <f>-K7</f>
        <v>-1897.2</v>
      </c>
    </row>
    <row r="12" spans="1:13">
      <c r="A12" s="134" t="s">
        <v>87</v>
      </c>
      <c r="B12" s="134" t="s">
        <v>17</v>
      </c>
      <c r="C12" s="135">
        <v>43727</v>
      </c>
      <c r="D12" s="134" t="s">
        <v>59</v>
      </c>
      <c r="E12" s="134" t="s">
        <v>126</v>
      </c>
      <c r="H12" s="136">
        <v>6122</v>
      </c>
      <c r="I12" s="134">
        <v>100</v>
      </c>
      <c r="J12" s="134">
        <v>31</v>
      </c>
      <c r="K12" s="137">
        <v>1897.82</v>
      </c>
    </row>
    <row r="13" spans="1:13">
      <c r="K13" s="137">
        <f>K12</f>
        <v>1897.82</v>
      </c>
    </row>
    <row r="14" spans="1:13" s="134" customFormat="1">
      <c r="K14" s="133"/>
    </row>
    <row r="15" spans="1:13" s="134" customFormat="1">
      <c r="A15" s="134" t="s">
        <v>37</v>
      </c>
      <c r="B15" s="134" t="s">
        <v>87</v>
      </c>
      <c r="H15" s="136">
        <f>H7-H12</f>
        <v>-2</v>
      </c>
      <c r="K15" s="136">
        <f>K9-K13</f>
        <v>-0.61999999999989086</v>
      </c>
    </row>
    <row r="17" spans="1:12" s="134" customFormat="1">
      <c r="A17" s="138" t="s">
        <v>76</v>
      </c>
      <c r="B17" s="138" t="s">
        <v>28</v>
      </c>
      <c r="C17" s="139">
        <v>43829</v>
      </c>
      <c r="D17" s="138" t="s">
        <v>66</v>
      </c>
    </row>
    <row r="18" spans="1:12" s="138" customFormat="1">
      <c r="C18" s="139"/>
    </row>
    <row r="19" spans="1:12" s="138" customFormat="1">
      <c r="A19" s="194" t="s">
        <v>159</v>
      </c>
      <c r="B19" s="191"/>
      <c r="C19" s="195">
        <v>43829</v>
      </c>
      <c r="D19" s="191"/>
      <c r="E19" s="191"/>
      <c r="F19" s="191"/>
      <c r="G19" s="191"/>
      <c r="H19" s="191"/>
      <c r="I19" s="191"/>
      <c r="J19" s="191"/>
      <c r="K19" s="192">
        <v>0</v>
      </c>
    </row>
    <row r="20" spans="1:12">
      <c r="A20" s="194"/>
      <c r="B20" s="191"/>
      <c r="C20" s="195"/>
      <c r="D20" s="191"/>
      <c r="E20" s="191"/>
      <c r="F20" s="191"/>
      <c r="G20" s="191"/>
      <c r="H20" s="191"/>
      <c r="I20" s="191"/>
      <c r="J20" s="191"/>
      <c r="K20" s="192"/>
    </row>
    <row r="22" spans="1:12" s="138" customFormat="1"/>
    <row r="23" spans="1:12">
      <c r="B23" s="109" t="s">
        <v>87</v>
      </c>
      <c r="D23" s="124" t="s">
        <v>96</v>
      </c>
      <c r="E23" s="124" t="s">
        <v>95</v>
      </c>
      <c r="F23" s="124" t="s">
        <v>131</v>
      </c>
      <c r="G23" s="124" t="s">
        <v>98</v>
      </c>
      <c r="H23" s="124" t="s">
        <v>3</v>
      </c>
      <c r="I23" s="124" t="s">
        <v>4</v>
      </c>
      <c r="J23" s="124" t="s">
        <v>96</v>
      </c>
      <c r="K23" s="124" t="s">
        <v>131</v>
      </c>
      <c r="L23" s="124" t="s">
        <v>98</v>
      </c>
    </row>
    <row r="24" spans="1:12">
      <c r="A24" s="126" t="s">
        <v>145</v>
      </c>
      <c r="B24" s="125" t="s">
        <v>149</v>
      </c>
      <c r="D24" s="123">
        <v>1000</v>
      </c>
      <c r="E24" s="127">
        <v>0.2</v>
      </c>
      <c r="F24" s="123">
        <v>200</v>
      </c>
      <c r="G24" s="123">
        <v>1200</v>
      </c>
      <c r="H24" s="128">
        <v>100</v>
      </c>
      <c r="I24" s="128">
        <v>31</v>
      </c>
      <c r="J24" s="123">
        <v>310</v>
      </c>
      <c r="K24" s="123">
        <v>62</v>
      </c>
      <c r="L24" s="123">
        <v>372</v>
      </c>
    </row>
    <row r="25" spans="1:12">
      <c r="A25" s="126" t="s">
        <v>146</v>
      </c>
      <c r="B25" s="125" t="s">
        <v>147</v>
      </c>
      <c r="D25" s="123">
        <v>1500</v>
      </c>
      <c r="E25" s="127">
        <v>0.2</v>
      </c>
      <c r="F25" s="123">
        <v>300</v>
      </c>
      <c r="G25" s="123">
        <v>1800</v>
      </c>
      <c r="H25" s="128">
        <v>100</v>
      </c>
      <c r="I25" s="128">
        <v>31</v>
      </c>
      <c r="J25" s="123">
        <v>465</v>
      </c>
      <c r="K25" s="123">
        <v>93</v>
      </c>
      <c r="L25" s="123">
        <v>558</v>
      </c>
    </row>
    <row r="26" spans="1:12">
      <c r="D26" s="130"/>
      <c r="F26" s="130"/>
      <c r="G26" s="130"/>
      <c r="J26" s="130"/>
      <c r="K26" s="130"/>
      <c r="L26" s="130"/>
    </row>
    <row r="27" spans="1:12" s="128" customFormat="1">
      <c r="B27" s="128" t="s">
        <v>135</v>
      </c>
      <c r="D27" s="123">
        <f>SUM(D24:D25)</f>
        <v>2500</v>
      </c>
      <c r="F27" s="123">
        <f>SUM(F24:F25)</f>
        <v>500</v>
      </c>
      <c r="G27" s="123">
        <f>SUM(G24:G25)</f>
        <v>3000</v>
      </c>
      <c r="J27" s="123">
        <f>SUM(J24:J25)</f>
        <v>775</v>
      </c>
      <c r="K27" s="129">
        <f>SUM(K24:K25)</f>
        <v>155</v>
      </c>
      <c r="L27" s="123">
        <f>SUM(L24:L25)</f>
        <v>930</v>
      </c>
    </row>
    <row r="28" spans="1:12">
      <c r="D28" s="130"/>
      <c r="F28" s="130"/>
      <c r="G28" s="130"/>
      <c r="J28" s="130"/>
      <c r="K28" s="130"/>
      <c r="L28" s="130"/>
    </row>
    <row r="29" spans="1:12">
      <c r="D29" s="130"/>
      <c r="F29" s="130"/>
      <c r="G29" s="130"/>
      <c r="J29" s="130"/>
      <c r="K29" s="130"/>
      <c r="L29" s="130"/>
    </row>
    <row r="30" spans="1:12">
      <c r="A30" s="145" t="s">
        <v>158</v>
      </c>
      <c r="B30" s="122" t="s">
        <v>148</v>
      </c>
      <c r="D30" s="130"/>
      <c r="F30" s="130"/>
      <c r="G30" s="130"/>
      <c r="J30" s="130"/>
      <c r="K30" s="130"/>
      <c r="L30" s="130"/>
    </row>
    <row r="31" spans="1:12">
      <c r="A31" s="126" t="s">
        <v>150</v>
      </c>
      <c r="B31" s="125" t="s">
        <v>151</v>
      </c>
      <c r="D31" s="123">
        <v>1040</v>
      </c>
      <c r="E31" s="127">
        <v>0.2</v>
      </c>
      <c r="F31" s="123">
        <v>208</v>
      </c>
      <c r="G31" s="123">
        <v>1248</v>
      </c>
      <c r="H31" s="128">
        <v>100</v>
      </c>
      <c r="I31" s="128">
        <v>31</v>
      </c>
      <c r="J31" s="123">
        <v>322.39999999999998</v>
      </c>
      <c r="K31" s="123">
        <v>64.48</v>
      </c>
      <c r="L31" s="123">
        <v>386.88</v>
      </c>
    </row>
    <row r="32" spans="1:12" s="125" customFormat="1">
      <c r="A32" s="126" t="s">
        <v>152</v>
      </c>
      <c r="B32" s="125" t="s">
        <v>153</v>
      </c>
      <c r="D32" s="123">
        <v>1080</v>
      </c>
      <c r="E32" s="127">
        <v>0.2</v>
      </c>
      <c r="F32" s="123">
        <v>216</v>
      </c>
      <c r="G32" s="123">
        <v>1296</v>
      </c>
      <c r="H32" s="128">
        <v>100</v>
      </c>
      <c r="I32" s="128">
        <v>31</v>
      </c>
      <c r="J32" s="123">
        <v>334.8</v>
      </c>
      <c r="K32" s="123">
        <v>66.959999999999994</v>
      </c>
      <c r="L32" s="123">
        <v>401.76</v>
      </c>
    </row>
    <row r="33" spans="1:12" s="125" customFormat="1">
      <c r="A33" s="126" t="s">
        <v>154</v>
      </c>
      <c r="B33" s="125" t="s">
        <v>155</v>
      </c>
      <c r="D33" s="123">
        <v>480</v>
      </c>
      <c r="E33" s="127">
        <v>0.2</v>
      </c>
      <c r="F33" s="123">
        <v>96</v>
      </c>
      <c r="G33" s="123">
        <v>576</v>
      </c>
      <c r="H33" s="128">
        <v>100</v>
      </c>
      <c r="I33" s="128">
        <v>31</v>
      </c>
      <c r="J33" s="123">
        <v>145.80000000000001</v>
      </c>
      <c r="K33" s="123">
        <v>29.76</v>
      </c>
      <c r="L33" s="123">
        <v>178.56</v>
      </c>
    </row>
    <row r="34" spans="1:12">
      <c r="D34" s="130"/>
      <c r="F34" s="130"/>
      <c r="G34" s="130"/>
      <c r="J34" s="130"/>
      <c r="K34" s="130"/>
      <c r="L34" s="130"/>
    </row>
    <row r="35" spans="1:12">
      <c r="A35" s="140" t="s">
        <v>157</v>
      </c>
      <c r="B35" s="141" t="s">
        <v>135</v>
      </c>
      <c r="D35" s="131">
        <f>SUM(D31:D33)</f>
        <v>2600</v>
      </c>
      <c r="F35" s="131">
        <f>SUM(F31:F33)</f>
        <v>520</v>
      </c>
      <c r="G35" s="131">
        <f>SUM(G31:G33)</f>
        <v>3120</v>
      </c>
      <c r="J35" s="131">
        <f>SUM(J31:J33)</f>
        <v>803</v>
      </c>
      <c r="K35" s="129">
        <f>SUM(K31:K33)</f>
        <v>161.19999999999999</v>
      </c>
      <c r="L35" s="131">
        <f>SUM(L31:L33)</f>
        <v>967.2</v>
      </c>
    </row>
    <row r="36" spans="1:12">
      <c r="L36" s="130"/>
    </row>
    <row r="37" spans="1:12">
      <c r="B37" s="143" t="s">
        <v>156</v>
      </c>
      <c r="D37" s="132">
        <f>D27+D35</f>
        <v>5100</v>
      </c>
      <c r="G37" s="132">
        <f>G27+G35</f>
        <v>6120</v>
      </c>
      <c r="J37" s="132">
        <f>J27+J35</f>
        <v>1578</v>
      </c>
      <c r="K37" s="142">
        <f>K27+K35</f>
        <v>316.2</v>
      </c>
      <c r="L37" s="132">
        <f>L27+L35</f>
        <v>1897.2</v>
      </c>
    </row>
  </sheetData>
  <mergeCells count="23">
    <mergeCell ref="K7:K8"/>
    <mergeCell ref="A7:A8"/>
    <mergeCell ref="G7:G8"/>
    <mergeCell ref="A19:A20"/>
    <mergeCell ref="B19:B20"/>
    <mergeCell ref="C19:C20"/>
    <mergeCell ref="K19:K20"/>
    <mergeCell ref="D19:D20"/>
    <mergeCell ref="E19:E20"/>
    <mergeCell ref="F19:F20"/>
    <mergeCell ref="G19:G20"/>
    <mergeCell ref="H19:H20"/>
    <mergeCell ref="I19:I20"/>
    <mergeCell ref="J19:J20"/>
    <mergeCell ref="I7:I8"/>
    <mergeCell ref="J7:J8"/>
    <mergeCell ref="F4:H4"/>
    <mergeCell ref="B7:B8"/>
    <mergeCell ref="C7:C8"/>
    <mergeCell ref="D7:D8"/>
    <mergeCell ref="E7:E8"/>
    <mergeCell ref="F7:F8"/>
    <mergeCell ref="H7:H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N27"/>
  <sheetViews>
    <sheetView topLeftCell="A4" workbookViewId="0">
      <selection activeCell="A27" sqref="A27:XFD27"/>
    </sheetView>
  </sheetViews>
  <sheetFormatPr baseColWidth="10" defaultRowHeight="14.4"/>
  <cols>
    <col min="1" max="1" width="20.6640625" bestFit="1" customWidth="1"/>
    <col min="2" max="2" width="22.88671875" bestFit="1" customWidth="1"/>
    <col min="3" max="3" width="19.88671875" bestFit="1" customWidth="1"/>
    <col min="4" max="4" width="21.88671875" bestFit="1" customWidth="1"/>
    <col min="5" max="5" width="25" bestFit="1" customWidth="1"/>
    <col min="6" max="6" width="11.5546875" bestFit="1" customWidth="1"/>
    <col min="7" max="7" width="14" bestFit="1" customWidth="1"/>
    <col min="8" max="8" width="13.21875" bestFit="1" customWidth="1"/>
    <col min="9" max="9" width="8.44140625" bestFit="1" customWidth="1"/>
    <col min="10" max="10" width="9.44140625" bestFit="1" customWidth="1"/>
    <col min="11" max="11" width="12.77734375" bestFit="1" customWidth="1"/>
    <col min="12" max="12" width="8.44140625" bestFit="1" customWidth="1"/>
    <col min="13" max="13" width="10.44140625" bestFit="1" customWidth="1"/>
  </cols>
  <sheetData>
    <row r="4" spans="1:14">
      <c r="F4" s="193" t="s">
        <v>69</v>
      </c>
      <c r="G4" s="193"/>
      <c r="H4" s="193"/>
    </row>
    <row r="5" spans="1:14">
      <c r="A5" t="s">
        <v>9</v>
      </c>
      <c r="C5" t="s">
        <v>0</v>
      </c>
      <c r="D5" t="s">
        <v>1</v>
      </c>
      <c r="F5" s="4" t="s">
        <v>71</v>
      </c>
      <c r="G5" t="s">
        <v>68</v>
      </c>
      <c r="H5" t="s">
        <v>2</v>
      </c>
      <c r="I5" t="s">
        <v>3</v>
      </c>
      <c r="J5" t="s">
        <v>4</v>
      </c>
      <c r="K5" t="s">
        <v>5</v>
      </c>
      <c r="L5" t="s">
        <v>19</v>
      </c>
      <c r="M5" t="s">
        <v>23</v>
      </c>
    </row>
    <row r="7" spans="1:14">
      <c r="A7" t="s">
        <v>70</v>
      </c>
      <c r="B7" t="s">
        <v>15</v>
      </c>
      <c r="C7" s="1">
        <v>42607</v>
      </c>
      <c r="D7" t="s">
        <v>16</v>
      </c>
      <c r="E7" t="s">
        <v>14</v>
      </c>
      <c r="F7" s="2">
        <v>1584</v>
      </c>
      <c r="G7" s="2">
        <v>84.32</v>
      </c>
      <c r="H7" s="2">
        <v>1630.1</v>
      </c>
      <c r="I7">
        <v>100</v>
      </c>
      <c r="J7">
        <v>31</v>
      </c>
      <c r="K7" s="2">
        <v>505.33</v>
      </c>
      <c r="L7" s="2"/>
      <c r="M7" s="2"/>
      <c r="N7" s="2"/>
    </row>
    <row r="8" spans="1:14">
      <c r="C8" s="1"/>
      <c r="F8" s="2"/>
      <c r="G8" s="2"/>
      <c r="H8" s="2">
        <f>H7</f>
        <v>1630.1</v>
      </c>
      <c r="K8" s="2">
        <f>K7</f>
        <v>505.33</v>
      </c>
      <c r="L8" s="2"/>
      <c r="M8" s="2"/>
      <c r="N8" s="2"/>
    </row>
    <row r="9" spans="1:14">
      <c r="C9" s="1"/>
      <c r="F9" s="2"/>
      <c r="G9" s="2"/>
      <c r="H9" s="2"/>
      <c r="K9" s="2"/>
      <c r="L9" s="2"/>
      <c r="M9" s="2"/>
      <c r="N9" s="2"/>
    </row>
    <row r="10" spans="1:14">
      <c r="A10" t="s">
        <v>70</v>
      </c>
      <c r="B10" t="s">
        <v>20</v>
      </c>
      <c r="C10" s="1">
        <v>42936</v>
      </c>
      <c r="D10" t="s">
        <v>18</v>
      </c>
      <c r="E10" t="s">
        <v>14</v>
      </c>
      <c r="F10" s="2"/>
      <c r="G10" s="2"/>
      <c r="H10" s="2"/>
      <c r="K10" s="2">
        <v>-505.33</v>
      </c>
      <c r="L10" s="2"/>
      <c r="M10" s="2"/>
    </row>
    <row r="11" spans="1:14">
      <c r="A11" t="s">
        <v>70</v>
      </c>
      <c r="B11" t="s">
        <v>17</v>
      </c>
      <c r="C11" s="1">
        <v>42936</v>
      </c>
      <c r="D11" t="s">
        <v>18</v>
      </c>
      <c r="E11" t="s">
        <v>14</v>
      </c>
      <c r="F11" s="2"/>
      <c r="G11" s="2"/>
      <c r="H11" s="2">
        <v>1668.32</v>
      </c>
      <c r="I11">
        <v>100</v>
      </c>
      <c r="J11">
        <v>31</v>
      </c>
      <c r="K11" s="2">
        <v>517.17999999999995</v>
      </c>
      <c r="L11" s="94">
        <v>86.2</v>
      </c>
      <c r="M11" s="2"/>
    </row>
    <row r="12" spans="1:14">
      <c r="H12" s="2">
        <f>H11</f>
        <v>1668.32</v>
      </c>
      <c r="K12" s="2">
        <f>K11</f>
        <v>517.17999999999995</v>
      </c>
    </row>
    <row r="13" spans="1:14">
      <c r="K13" s="2"/>
    </row>
    <row r="14" spans="1:14">
      <c r="A14" t="s">
        <v>37</v>
      </c>
      <c r="B14" t="s">
        <v>70</v>
      </c>
      <c r="F14" s="3"/>
      <c r="H14" s="3">
        <f>H8-H12</f>
        <v>-38.220000000000027</v>
      </c>
      <c r="I14" s="3"/>
      <c r="K14" s="3">
        <f>K8-K12</f>
        <v>-11.849999999999966</v>
      </c>
    </row>
    <row r="15" spans="1:14">
      <c r="K15" s="2"/>
    </row>
    <row r="16" spans="1:14">
      <c r="A16" t="s">
        <v>76</v>
      </c>
      <c r="B16" t="s">
        <v>28</v>
      </c>
      <c r="C16" s="1">
        <v>43097</v>
      </c>
      <c r="D16" t="s">
        <v>39</v>
      </c>
      <c r="K16" s="7">
        <v>-11.85</v>
      </c>
    </row>
    <row r="18" spans="1:12">
      <c r="A18" s="5" t="s">
        <v>70</v>
      </c>
      <c r="B18" s="5"/>
      <c r="C18" s="6">
        <v>43097</v>
      </c>
      <c r="D18" s="5"/>
      <c r="E18" s="5"/>
      <c r="F18" s="5"/>
      <c r="G18" s="5"/>
      <c r="H18" s="5"/>
      <c r="I18" s="5"/>
      <c r="J18" s="5"/>
      <c r="K18" s="5">
        <v>0</v>
      </c>
    </row>
    <row r="22" spans="1:12" s="83" customFormat="1">
      <c r="B22" t="s">
        <v>70</v>
      </c>
      <c r="D22" s="83" t="s">
        <v>96</v>
      </c>
      <c r="E22" s="83" t="s">
        <v>95</v>
      </c>
      <c r="F22" s="83" t="s">
        <v>131</v>
      </c>
      <c r="G22" s="83" t="s">
        <v>98</v>
      </c>
      <c r="H22" s="83" t="s">
        <v>3</v>
      </c>
      <c r="I22" s="83" t="s">
        <v>4</v>
      </c>
      <c r="J22" s="83" t="s">
        <v>96</v>
      </c>
      <c r="K22" s="83" t="s">
        <v>131</v>
      </c>
      <c r="L22" s="83" t="s">
        <v>98</v>
      </c>
    </row>
    <row r="23" spans="1:12" s="83" customFormat="1"/>
    <row r="24" spans="1:12" s="83" customFormat="1">
      <c r="A24" s="79" t="s">
        <v>138</v>
      </c>
      <c r="B24" s="108" t="s">
        <v>141</v>
      </c>
      <c r="C24" s="85"/>
      <c r="D24" s="84">
        <v>1320</v>
      </c>
      <c r="E24" s="81">
        <v>0.2</v>
      </c>
      <c r="F24" s="84">
        <f>D24*E24</f>
        <v>264</v>
      </c>
      <c r="G24" s="84">
        <f>D24+F24</f>
        <v>1584</v>
      </c>
      <c r="H24" s="83">
        <v>100</v>
      </c>
      <c r="I24" s="83">
        <v>31</v>
      </c>
      <c r="J24" s="84">
        <f>D24*I24/H24</f>
        <v>409.2</v>
      </c>
      <c r="K24" s="84">
        <f>F24*I24/H24</f>
        <v>81.84</v>
      </c>
      <c r="L24" s="84">
        <f>G24*I24/H24</f>
        <v>491.04</v>
      </c>
    </row>
    <row r="25" spans="1:12" s="83" customFormat="1">
      <c r="A25" s="83" t="s">
        <v>133</v>
      </c>
      <c r="B25" s="87" t="s">
        <v>134</v>
      </c>
      <c r="D25" s="84">
        <f>D24*5%</f>
        <v>66</v>
      </c>
      <c r="E25" s="81">
        <v>0.2</v>
      </c>
      <c r="F25" s="84">
        <f>D25*E25</f>
        <v>13.200000000000001</v>
      </c>
      <c r="G25" s="84">
        <f>D25+F25</f>
        <v>79.2</v>
      </c>
      <c r="H25" s="83">
        <v>100</v>
      </c>
      <c r="I25" s="83">
        <v>31</v>
      </c>
      <c r="J25" s="84">
        <f>D25*I25/H25</f>
        <v>20.46</v>
      </c>
      <c r="K25" s="84">
        <f>F25*I25/H25</f>
        <v>4.0920000000000005</v>
      </c>
      <c r="L25" s="84">
        <f>G25*I25/H25</f>
        <v>24.552000000000003</v>
      </c>
    </row>
    <row r="26" spans="1:12" s="83" customFormat="1"/>
    <row r="27" spans="1:12" s="83" customFormat="1">
      <c r="B27" s="83" t="s">
        <v>135</v>
      </c>
      <c r="D27" s="84">
        <f>SUM(D24:D25)</f>
        <v>1386</v>
      </c>
      <c r="F27" s="84">
        <f>SUM(F24:F25)</f>
        <v>277.2</v>
      </c>
      <c r="G27" s="84">
        <f>SUM(G24:G25)</f>
        <v>1663.2</v>
      </c>
      <c r="J27" s="84">
        <f>SUM(J24:J25)</f>
        <v>429.65999999999997</v>
      </c>
      <c r="K27" s="82">
        <f>SUM(K24:K25)</f>
        <v>85.932000000000002</v>
      </c>
      <c r="L27" s="84">
        <f>SUM(L24:L25)</f>
        <v>515.59199999999998</v>
      </c>
    </row>
  </sheetData>
  <mergeCells count="1">
    <mergeCell ref="F4:H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M22"/>
  <sheetViews>
    <sheetView workbookViewId="0">
      <selection activeCell="B15" sqref="B15"/>
    </sheetView>
  </sheetViews>
  <sheetFormatPr baseColWidth="10" defaultRowHeight="14.4"/>
  <cols>
    <col min="1" max="1" width="26.88671875" bestFit="1" customWidth="1"/>
    <col min="2" max="2" width="13.77734375" bestFit="1" customWidth="1"/>
    <col min="3" max="3" width="19.88671875" bestFit="1" customWidth="1"/>
    <col min="4" max="4" width="22.21875" bestFit="1" customWidth="1"/>
    <col min="5" max="5" width="13.109375" bestFit="1" customWidth="1"/>
    <col min="6" max="6" width="11.5546875" bestFit="1" customWidth="1"/>
    <col min="7" max="7" width="14" bestFit="1" customWidth="1"/>
    <col min="8" max="8" width="13.21875" bestFit="1" customWidth="1"/>
    <col min="9" max="9" width="8.44140625" bestFit="1" customWidth="1"/>
    <col min="10" max="10" width="9.44140625" bestFit="1" customWidth="1"/>
    <col min="11" max="11" width="12.77734375" bestFit="1" customWidth="1"/>
    <col min="12" max="12" width="8.44140625" bestFit="1" customWidth="1"/>
    <col min="13" max="13" width="10.44140625" bestFit="1" customWidth="1"/>
  </cols>
  <sheetData>
    <row r="4" spans="1:13">
      <c r="F4" s="193" t="s">
        <v>69</v>
      </c>
      <c r="G4" s="193"/>
      <c r="H4" s="193"/>
    </row>
    <row r="5" spans="1:13">
      <c r="A5" t="s">
        <v>9</v>
      </c>
      <c r="C5" t="s">
        <v>0</v>
      </c>
      <c r="D5" t="s">
        <v>1</v>
      </c>
      <c r="F5" t="s">
        <v>67</v>
      </c>
      <c r="G5" t="s">
        <v>68</v>
      </c>
      <c r="H5" t="s">
        <v>2</v>
      </c>
      <c r="I5" t="s">
        <v>3</v>
      </c>
      <c r="J5" t="s">
        <v>4</v>
      </c>
      <c r="K5" t="s">
        <v>5</v>
      </c>
      <c r="L5" t="s">
        <v>19</v>
      </c>
      <c r="M5" t="s">
        <v>23</v>
      </c>
    </row>
    <row r="7" spans="1:13">
      <c r="A7" t="s">
        <v>8</v>
      </c>
      <c r="B7" t="s">
        <v>12</v>
      </c>
      <c r="C7" s="1">
        <v>42578</v>
      </c>
      <c r="D7" t="s">
        <v>7</v>
      </c>
      <c r="E7" t="s">
        <v>10</v>
      </c>
      <c r="F7" s="2">
        <v>2103.38</v>
      </c>
      <c r="G7" s="2">
        <v>114.73</v>
      </c>
      <c r="H7" s="2">
        <v>2218.11</v>
      </c>
      <c r="I7">
        <v>100</v>
      </c>
      <c r="J7">
        <v>4</v>
      </c>
      <c r="K7" s="2">
        <v>88.73</v>
      </c>
      <c r="L7" s="2"/>
      <c r="M7" s="2"/>
    </row>
    <row r="8" spans="1:13">
      <c r="H8" s="97">
        <f>H7</f>
        <v>2218.11</v>
      </c>
      <c r="K8" s="97">
        <f>K7</f>
        <v>88.73</v>
      </c>
    </row>
    <row r="9" spans="1:13" s="109" customFormat="1">
      <c r="H9" s="97"/>
      <c r="K9" s="97"/>
    </row>
    <row r="10" spans="1:13" s="109" customFormat="1">
      <c r="A10" s="109" t="s">
        <v>8</v>
      </c>
      <c r="B10" s="109" t="s">
        <v>12</v>
      </c>
      <c r="C10" s="96">
        <v>42578</v>
      </c>
      <c r="D10" s="109" t="s">
        <v>7</v>
      </c>
      <c r="E10" s="109" t="s">
        <v>10</v>
      </c>
      <c r="F10" s="97"/>
      <c r="G10" s="97"/>
      <c r="K10" s="120">
        <f>-K8</f>
        <v>-88.73</v>
      </c>
      <c r="L10" s="97"/>
      <c r="M10" s="97"/>
    </row>
    <row r="11" spans="1:13">
      <c r="A11" s="109" t="s">
        <v>8</v>
      </c>
      <c r="B11" s="109" t="s">
        <v>143</v>
      </c>
      <c r="C11" s="96">
        <v>42872</v>
      </c>
      <c r="D11" s="109" t="s">
        <v>18</v>
      </c>
      <c r="E11" s="109" t="s">
        <v>10</v>
      </c>
      <c r="H11" s="97">
        <v>2218.11</v>
      </c>
      <c r="I11" s="109">
        <v>100</v>
      </c>
      <c r="J11" s="109">
        <v>4</v>
      </c>
      <c r="K11" s="119">
        <v>88.72</v>
      </c>
    </row>
    <row r="12" spans="1:13">
      <c r="H12" s="97">
        <f>H11</f>
        <v>2218.11</v>
      </c>
      <c r="K12" s="119">
        <f>K11</f>
        <v>88.72</v>
      </c>
    </row>
    <row r="13" spans="1:13" s="109" customFormat="1">
      <c r="A13" s="109" t="s">
        <v>37</v>
      </c>
      <c r="B13" s="109" t="s">
        <v>8</v>
      </c>
      <c r="F13" s="98"/>
      <c r="H13" s="98">
        <f>H18-H22</f>
        <v>0</v>
      </c>
      <c r="I13" s="98"/>
      <c r="K13" s="121">
        <f>K8-K12</f>
        <v>1.0000000000005116E-2</v>
      </c>
    </row>
    <row r="15" spans="1:13" s="109" customFormat="1">
      <c r="A15" s="100" t="s">
        <v>8</v>
      </c>
      <c r="B15" s="109" t="s">
        <v>143</v>
      </c>
      <c r="C15" s="101">
        <v>42872</v>
      </c>
      <c r="D15" s="100"/>
      <c r="E15" s="100"/>
      <c r="F15" s="100"/>
      <c r="G15" s="100"/>
      <c r="H15" s="100"/>
      <c r="I15" s="100"/>
      <c r="J15" s="100"/>
      <c r="K15" s="100">
        <v>0</v>
      </c>
    </row>
    <row r="16" spans="1:13" s="109" customFormat="1">
      <c r="A16" s="100"/>
      <c r="B16" s="100"/>
      <c r="C16" s="101"/>
      <c r="D16" s="100"/>
      <c r="E16" s="100"/>
      <c r="F16" s="100"/>
      <c r="G16" s="100"/>
      <c r="H16" s="100"/>
      <c r="I16" s="100"/>
      <c r="J16" s="100"/>
      <c r="K16" s="100"/>
    </row>
    <row r="17" spans="1:13">
      <c r="A17" s="114"/>
      <c r="B17" s="109" t="s">
        <v>8</v>
      </c>
      <c r="C17" s="114"/>
      <c r="D17" s="114" t="s">
        <v>96</v>
      </c>
      <c r="E17" s="114" t="s">
        <v>95</v>
      </c>
      <c r="F17" s="114" t="s">
        <v>131</v>
      </c>
      <c r="G17" s="114" t="s">
        <v>98</v>
      </c>
      <c r="H17" s="114" t="s">
        <v>3</v>
      </c>
      <c r="I17" s="114" t="s">
        <v>4</v>
      </c>
      <c r="J17" s="114" t="s">
        <v>96</v>
      </c>
      <c r="K17" s="114" t="s">
        <v>131</v>
      </c>
      <c r="L17" s="114" t="s">
        <v>98</v>
      </c>
      <c r="M17" s="95"/>
    </row>
    <row r="18" spans="1:13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95"/>
    </row>
    <row r="19" spans="1:13">
      <c r="A19" s="110" t="s">
        <v>142</v>
      </c>
      <c r="B19" s="118" t="s">
        <v>144</v>
      </c>
      <c r="C19" s="116"/>
      <c r="D19" s="111">
        <v>1912.16</v>
      </c>
      <c r="E19" s="112">
        <v>0.1</v>
      </c>
      <c r="F19" s="115">
        <f>D19*E19</f>
        <v>191.21600000000001</v>
      </c>
      <c r="G19" s="115">
        <f>D19+F19</f>
        <v>2103.3760000000002</v>
      </c>
      <c r="H19" s="114">
        <v>100</v>
      </c>
      <c r="I19" s="114">
        <v>4</v>
      </c>
      <c r="J19" s="115">
        <f>D19*I19/H19</f>
        <v>76.486400000000003</v>
      </c>
      <c r="K19" s="115">
        <f>F19*I19/H19</f>
        <v>7.6486400000000003</v>
      </c>
      <c r="L19" s="115">
        <f>G19*I19/H19</f>
        <v>84.135040000000004</v>
      </c>
      <c r="M19" s="95"/>
    </row>
    <row r="20" spans="1:13">
      <c r="A20" s="114" t="s">
        <v>133</v>
      </c>
      <c r="B20" s="117" t="s">
        <v>134</v>
      </c>
      <c r="C20" s="114"/>
      <c r="D20" s="115">
        <f>D19*5%</f>
        <v>95.608000000000004</v>
      </c>
      <c r="E20" s="112">
        <v>0.2</v>
      </c>
      <c r="F20" s="115">
        <f>D20*E20</f>
        <v>19.121600000000001</v>
      </c>
      <c r="G20" s="115">
        <f>D20+F20</f>
        <v>114.7296</v>
      </c>
      <c r="H20" s="114">
        <v>100</v>
      </c>
      <c r="I20" s="114">
        <v>4</v>
      </c>
      <c r="J20" s="115">
        <f>D20*I20/H20</f>
        <v>3.8243200000000002</v>
      </c>
      <c r="K20" s="115">
        <f>F20*I20/H20</f>
        <v>0.76486399999999999</v>
      </c>
      <c r="L20" s="115">
        <f>G20*I20/H20</f>
        <v>4.5891840000000004</v>
      </c>
      <c r="M20" s="95"/>
    </row>
    <row r="21" spans="1:13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95"/>
    </row>
    <row r="22" spans="1:13">
      <c r="A22" s="114"/>
      <c r="B22" s="114" t="s">
        <v>135</v>
      </c>
      <c r="C22" s="114"/>
      <c r="D22" s="115">
        <f>D19+D20</f>
        <v>2007.768</v>
      </c>
      <c r="E22" s="114"/>
      <c r="F22" s="115">
        <f>F19+F20</f>
        <v>210.33760000000001</v>
      </c>
      <c r="G22" s="115">
        <f>G19+G20</f>
        <v>2218.1056000000003</v>
      </c>
      <c r="H22" s="114"/>
      <c r="I22" s="114"/>
      <c r="J22" s="115">
        <f>J19+J20</f>
        <v>80.310720000000003</v>
      </c>
      <c r="K22" s="113">
        <f>K19+K20</f>
        <v>8.4135039999999996</v>
      </c>
      <c r="L22" s="115">
        <f>L19+L20</f>
        <v>88.724224000000007</v>
      </c>
      <c r="M22" s="95"/>
    </row>
  </sheetData>
  <mergeCells count="1">
    <mergeCell ref="F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M23"/>
  <sheetViews>
    <sheetView workbookViewId="0">
      <selection activeCell="A18" sqref="A18:XFD23"/>
    </sheetView>
  </sheetViews>
  <sheetFormatPr baseColWidth="10" defaultRowHeight="14.4"/>
  <cols>
    <col min="1" max="1" width="35.44140625" bestFit="1" customWidth="1"/>
    <col min="2" max="2" width="13" bestFit="1" customWidth="1"/>
    <col min="3" max="3" width="19.88671875" bestFit="1" customWidth="1"/>
    <col min="4" max="4" width="21.88671875" bestFit="1" customWidth="1"/>
    <col min="5" max="5" width="14.44140625" bestFit="1" customWidth="1"/>
    <col min="6" max="6" width="11.5546875" bestFit="1" customWidth="1"/>
    <col min="7" max="7" width="14" bestFit="1" customWidth="1"/>
    <col min="8" max="8" width="13.21875" bestFit="1" customWidth="1"/>
    <col min="9" max="9" width="8.44140625" bestFit="1" customWidth="1"/>
    <col min="10" max="10" width="9.44140625" bestFit="1" customWidth="1"/>
    <col min="11" max="11" width="12.77734375" bestFit="1" customWidth="1"/>
    <col min="12" max="12" width="8.44140625" bestFit="1" customWidth="1"/>
    <col min="13" max="13" width="10.44140625" bestFit="1" customWidth="1"/>
  </cols>
  <sheetData>
    <row r="4" spans="1:13">
      <c r="F4" s="193" t="s">
        <v>83</v>
      </c>
      <c r="G4" s="193"/>
      <c r="H4" s="193"/>
    </row>
    <row r="5" spans="1:13">
      <c r="A5" t="s">
        <v>47</v>
      </c>
      <c r="C5" s="78" t="s">
        <v>0</v>
      </c>
      <c r="D5" s="78" t="s">
        <v>1</v>
      </c>
      <c r="E5" s="78" t="s">
        <v>41</v>
      </c>
      <c r="F5" s="78" t="s">
        <v>82</v>
      </c>
      <c r="G5" s="78" t="s">
        <v>68</v>
      </c>
      <c r="H5" s="78" t="s">
        <v>2</v>
      </c>
      <c r="I5" s="78" t="s">
        <v>3</v>
      </c>
      <c r="J5" s="78" t="s">
        <v>4</v>
      </c>
      <c r="K5" s="78" t="s">
        <v>5</v>
      </c>
      <c r="L5" s="78" t="s">
        <v>19</v>
      </c>
      <c r="M5" s="78" t="s">
        <v>23</v>
      </c>
    </row>
    <row r="7" spans="1:13">
      <c r="A7" t="s">
        <v>48</v>
      </c>
      <c r="B7" t="s">
        <v>42</v>
      </c>
      <c r="C7" s="1">
        <v>42936</v>
      </c>
      <c r="D7" t="s">
        <v>43</v>
      </c>
      <c r="E7" t="s">
        <v>24</v>
      </c>
      <c r="F7" s="2">
        <v>2475.31</v>
      </c>
      <c r="G7" s="2">
        <v>135</v>
      </c>
      <c r="H7" s="2">
        <v>2610.31</v>
      </c>
      <c r="I7">
        <v>100</v>
      </c>
      <c r="J7">
        <v>31</v>
      </c>
      <c r="K7" s="2">
        <v>809.2</v>
      </c>
      <c r="L7" s="2"/>
      <c r="M7" s="2"/>
    </row>
    <row r="18" spans="1:12" s="83" customFormat="1">
      <c r="B18" t="s">
        <v>48</v>
      </c>
      <c r="D18" s="83" t="s">
        <v>96</v>
      </c>
      <c r="E18" s="83" t="s">
        <v>95</v>
      </c>
      <c r="F18" s="83" t="s">
        <v>131</v>
      </c>
      <c r="G18" s="83" t="s">
        <v>98</v>
      </c>
      <c r="H18" s="83" t="s">
        <v>3</v>
      </c>
      <c r="I18" s="83" t="s">
        <v>4</v>
      </c>
      <c r="J18" s="83" t="s">
        <v>96</v>
      </c>
      <c r="K18" s="83" t="s">
        <v>131</v>
      </c>
      <c r="L18" s="83" t="s">
        <v>98</v>
      </c>
    </row>
    <row r="19" spans="1:12" s="83" customFormat="1"/>
    <row r="20" spans="1:12" s="83" customFormat="1">
      <c r="A20" s="78" t="s">
        <v>137</v>
      </c>
      <c r="B20" s="88" t="s">
        <v>136</v>
      </c>
      <c r="C20" s="85"/>
      <c r="D20" s="84">
        <v>2250.2800000000002</v>
      </c>
      <c r="E20" s="81">
        <v>0.1</v>
      </c>
      <c r="F20" s="84">
        <f>D20*10%</f>
        <v>225.02800000000002</v>
      </c>
      <c r="G20" s="84">
        <f>D20+F20</f>
        <v>2475.308</v>
      </c>
      <c r="H20" s="83">
        <v>100</v>
      </c>
      <c r="I20" s="83">
        <v>31</v>
      </c>
      <c r="J20" s="84">
        <f>D20*I20/H20</f>
        <v>697.58680000000004</v>
      </c>
      <c r="K20" s="84">
        <f>F20*I20/H20</f>
        <v>69.758679999999998</v>
      </c>
      <c r="L20" s="84">
        <f>G20*I20/H20</f>
        <v>767.34547999999995</v>
      </c>
    </row>
    <row r="21" spans="1:12" s="83" customFormat="1">
      <c r="A21" s="83" t="s">
        <v>133</v>
      </c>
      <c r="B21" s="87" t="s">
        <v>134</v>
      </c>
      <c r="D21" s="84">
        <f>D20*5%</f>
        <v>112.51400000000001</v>
      </c>
      <c r="E21" s="81">
        <v>0.2</v>
      </c>
      <c r="F21" s="84">
        <f>D21*E21</f>
        <v>22.502800000000004</v>
      </c>
      <c r="G21" s="84">
        <f>D21+F21</f>
        <v>135.01680000000002</v>
      </c>
      <c r="H21" s="83">
        <v>100</v>
      </c>
      <c r="I21" s="83">
        <v>31</v>
      </c>
      <c r="J21" s="84">
        <f>D21*I21/H21</f>
        <v>34.879339999999999</v>
      </c>
      <c r="K21" s="84">
        <f>F21*I21/H21</f>
        <v>6.975868000000002</v>
      </c>
      <c r="L21" s="84">
        <f>G21*I21/H21</f>
        <v>41.855208000000005</v>
      </c>
    </row>
    <row r="22" spans="1:12" s="83" customFormat="1"/>
    <row r="23" spans="1:12" s="83" customFormat="1">
      <c r="B23" s="83" t="s">
        <v>135</v>
      </c>
      <c r="D23" s="84">
        <f>SUM(D20:D21)</f>
        <v>2362.7940000000003</v>
      </c>
      <c r="F23" s="84">
        <f>SUM(F20:F21)</f>
        <v>247.53080000000003</v>
      </c>
      <c r="G23" s="84">
        <f>SUM(G20:G21)</f>
        <v>2610.3247999999999</v>
      </c>
      <c r="J23" s="84">
        <f>SUM(J20:J21)</f>
        <v>732.46614</v>
      </c>
      <c r="K23" s="82">
        <f>SUM(K20:K21)</f>
        <v>76.734548000000004</v>
      </c>
      <c r="L23" s="84">
        <f>SUM(L20:L21)</f>
        <v>809.2006879999999</v>
      </c>
    </row>
  </sheetData>
  <mergeCells count="1"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2016</vt:lpstr>
      <vt:lpstr>2017</vt:lpstr>
      <vt:lpstr>2018</vt:lpstr>
      <vt:lpstr>2019</vt:lpstr>
      <vt:lpstr>Remplacemenet SSI</vt:lpstr>
      <vt:lpstr>Audit centrale incendie</vt:lpstr>
      <vt:lpstr>Becquets terrasse</vt:lpstr>
      <vt:lpstr>Blocs de secours</vt:lpstr>
      <vt:lpstr>Coffret &amp; sonde pompes</vt:lpstr>
      <vt:lpstr>Etancheïté terrasse</vt:lpstr>
      <vt:lpstr>Nettoyage grilles</vt:lpstr>
      <vt:lpstr>Pompe relevage</vt:lpstr>
      <vt:lpstr>Motorisation hydro</vt:lpstr>
      <vt:lpstr>Système sécurité incendie</vt:lpstr>
      <vt:lpstr>Factures remplacement SSI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Th. THOMAS</cp:lastModifiedBy>
  <cp:lastPrinted>2019-04-17T17:01:37Z</cp:lastPrinted>
  <dcterms:created xsi:type="dcterms:W3CDTF">2019-04-08T09:25:08Z</dcterms:created>
  <dcterms:modified xsi:type="dcterms:W3CDTF">2021-06-07T13:22:57Z</dcterms:modified>
</cp:coreProperties>
</file>